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media/image5.jpeg" ContentType="image/jpeg"/>
  <Override PartName="/xl/media/image4.png" ContentType="image/png"/>
  <Override PartName="/xl/media/image3.jpeg" ContentType="image/jpeg"/>
  <Override PartName="/xl/media/image6.png" ContentType="image/png"/>
  <Override PartName="/xl/media/image9.jpeg" ContentType="image/jpeg"/>
  <Override PartName="/xl/media/image10.png" ContentType="image/png"/>
  <Override PartName="/xl/media/image7.jpeg" ContentType="image/jpeg"/>
  <Override PartName="/xl/media/image2.png" ContentType="image/png"/>
  <Override PartName="/xl/media/image8.png" ContentType="image/png"/>
  <Override PartName="/xl/media/image1.jpeg" ContentType="image/jpeg"/>
  <Override PartName="/xl/styles.xml" ContentType="application/vnd.openxmlformats-officedocument.spreadsheetml.styles+xml"/>
  <Override PartName="/xl/workbook.xml" ContentType="application/vnd.openxmlformats-officedocument.spreadsheetml.sheet.main+xml"/>
  <Override PartName="/xl/tables/table1.xml" ContentType="application/vnd.openxmlformats-officedocument.spreadsheetml.table+xml"/>
  <Override PartName="/xl/worksheets/sheet6.xml" ContentType="application/vnd.openxmlformats-officedocument.spreadsheetml.worksheet+xml"/>
  <Override PartName="/xl/worksheets/sheet5.xml" ContentType="application/vnd.openxmlformats-officedocument.spreadsheetml.worksheet+xml"/>
  <Override PartName="/xl/worksheets/_rels/sheet4.xml.rels" ContentType="application/vnd.openxmlformats-package.relationships+xml"/>
  <Override PartName="/xl/worksheets/_rels/sheet7.xml.rels" ContentType="application/vnd.openxmlformats-package.relationships+xml"/>
  <Override PartName="/xl/worksheets/_rels/sheet8.xml.rels" ContentType="application/vnd.openxmlformats-package.relationships+xml"/>
  <Override PartName="/xl/worksheets/_rels/sheet5.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_rels/sheet3.xml.rels" ContentType="application/vnd.openxmlformats-package.relationships+xml"/>
  <Override PartName="/xl/worksheets/sheet7.xml" ContentType="application/vnd.openxmlformats-officedocument.spreadsheetml.worksheet+xml"/>
  <Override PartName="/xl/worksheets/sheet8.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_rels/drawing4.xml.rels" ContentType="application/vnd.openxmlformats-package.relationships+xml"/>
  <Override PartName="/xl/drawings/_rels/drawing5.xml.rels" ContentType="application/vnd.openxmlformats-package.relationships+xml"/>
  <Override PartName="/xl/drawings/_rels/drawing1.xml.rels" ContentType="application/vnd.openxmlformats-package.relationships+xml"/>
  <Override PartName="/xl/drawings/_rels/drawing3.xml.rels" ContentType="application/vnd.openxmlformats-package.relationships+xml"/>
  <Override PartName="/xl/drawings/_rels/drawing2.xml.rels" ContentType="application/vnd.openxmlformats-package.relationships+xml"/>
  <Override PartName="/xl/drawings/drawing4.xml" ContentType="application/vnd.openxmlformats-officedocument.drawing+xml"/>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customXml/itemProps3.xml" ContentType="application/vnd.openxmlformats-officedocument.customXmlProperties+xml"/>
  <Override PartName="/customXml/_rels/item2.xml.rels" ContentType="application/vnd.openxmlformats-package.relationships+xml"/>
  <Override PartName="/customXml/_rels/item1.xml.rels" ContentType="application/vnd.openxmlformats-package.relationships+xml"/>
  <Override PartName="/customXml/_rels/item3.xml.rels" ContentType="application/vnd.openxmlformats-package.relationships+xml"/>
  <Override PartName="/customXml/item3.xml" ContentType="application/xml"/>
  <Override PartName="/customXml/itemProps2.xml" ContentType="application/vnd.openxmlformats-officedocument.customXmlProperties+xml"/>
  <Override PartName="/customXml/item1.xml" ContentType="application/xml"/>
  <Override PartName="/customXml/item2.xml" ContentType="application/xml"/>
  <Override PartName="/customXml/itemProps1.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rerequisite Checklist" sheetId="1" state="visible" r:id="rId2"/>
    <sheet name="Management Workloads" sheetId="2" state="visible" r:id="rId3"/>
    <sheet name="Users and Groups" sheetId="3" state="visible" r:id="rId4"/>
    <sheet name="Hosts and Networks" sheetId="4" state="visible" r:id="rId5"/>
    <sheet name="Deploy Parameters" sheetId="5" state="visible" r:id="rId6"/>
    <sheet name="Lookup_Lists" sheetId="6" state="hidden" r:id="rId7"/>
    <sheet name="Config_File_Build" sheetId="7" state="hidden" r:id="rId8"/>
    <sheet name="Change Log" sheetId="8" state="hidden" r:id="rId9"/>
  </sheets>
  <definedNames>
    <definedName function="false" hidden="false" localSheetId="4" name="_xlnm.Print_Area" vbProcedure="false">'Deploy Parameters'!$B$1:$D$55</definedName>
    <definedName function="false" hidden="false" localSheetId="2" name="_xlnm.Print_Area" vbProcedure="false">'Users and Groups'!$B$1</definedName>
    <definedName function="false" hidden="false" name="esx_license_std" vbProcedure="false">'Management Workloads'!$L$6</definedName>
    <definedName function="false" hidden="false" name="esx_root_password" vbProcedure="false">'Users and Groups'!$C$7</definedName>
    <definedName function="false" hidden="false" name="EVC_Settings" vbProcedure="false">Lookup_Lists!$A$2:$A$20</definedName>
    <definedName function="false" hidden="false" name="nsxt_admin_password" vbProcedure="false">'Users and Groups'!$C$12</definedName>
    <definedName function="false" hidden="false" name="nsxt_audit_password" vbProcedure="false">'Users and Groups'!$C$13</definedName>
    <definedName function="false" hidden="false" name="nsxt_license" vbProcedure="false">'Management Workloads'!$L$9</definedName>
    <definedName function="false" hidden="false" name="nsx_root_password" vbProcedure="false">'Users and Groups'!$C$11</definedName>
    <definedName function="false" hidden="false" name="sso_admin_password" vbProcedure="false">'Users and Groups'!$C$8</definedName>
    <definedName function="false" hidden="false" name="vcenter_root_password" vbProcedure="false">'Users and Groups'!$C$9</definedName>
    <definedName function="false" hidden="false" name="vcf_admin_password" vbProcedure="false">'Users and Groups'!$C$17</definedName>
    <definedName function="false" hidden="false" name="vcf_license" vbProcedure="false">'Management Workloads'!$L$15</definedName>
    <definedName function="false" hidden="false" name="vcf_root_password" vbProcedure="false">'Users and Groups'!$C$15</definedName>
    <definedName function="false" hidden="false" name="vcf_user_password" vbProcedure="false">'Users and Groups'!$C$16</definedName>
    <definedName function="false" hidden="false" name="vc_license" vbProcedure="false">'Management Workloads'!$L$8</definedName>
    <definedName function="false" hidden="false" name="vsan_license" vbProcedure="false">'Management Workloads'!$L$7</definedName>
    <definedName function="false" hidden="false" localSheetId="0" name="Authentication" vbProcedure="false">#REF!</definedName>
    <definedName function="false" hidden="false" localSheetId="0" name="Configuration_Mode" vbProcedure="false">#REF!</definedName>
    <definedName function="false" hidden="false" localSheetId="0" name="Database_Type" vbProcedure="false">#REF!</definedName>
    <definedName function="false" hidden="false" localSheetId="0" name="SRM_Certificates" vbProcedure="false">#REF!</definedName>
    <definedName function="false" hidden="false" localSheetId="0" name="SSL_Policy" vbProcedure="false">#REF!</definedName>
    <definedName function="false" hidden="false" localSheetId="0" name="System_Type" vbProcedure="false">#REF!</definedName>
    <definedName function="false" hidden="false" localSheetId="0" name="VR_Database_Type" vbProcedure="false">#REF!</definedName>
    <definedName function="false" hidden="false" localSheetId="2" name="_xlnm.Print_Area_0" vbProcedure="false">'Users and Groups'!$B$1:$B$1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<sst xmlns="http://schemas.openxmlformats.org/spreadsheetml/2006/main" count="776" uniqueCount="627">
  <si>
    <t xml:space="preserve">Copyright © 2020 VMware, Inc. All rights reserved. This product is protected by copyright and intellectual property laws in the United States and other countries as well as by international treaties. VMware products are covered by one or more patents listed at http://www.vmware.com/go/patents. VMware is a registered trademark or trademark of VMware, Inc. in the United States and other jurisdictions. All other marks and names mentioned herein may be trademarks of their respective companies. </t>
  </si>
  <si>
    <t xml:space="preserve">v4.2.0</t>
  </si>
  <si>
    <t xml:space="preserve">Component</t>
  </si>
  <si>
    <t xml:space="preserve">Status</t>
  </si>
  <si>
    <t xml:space="preserve">Customer Comment</t>
  </si>
  <si>
    <t xml:space="preserve">Notes</t>
  </si>
  <si>
    <t xml:space="preserve">Physical Hardware and ESXi Hosts</t>
  </si>
  <si>
    <r>
      <rPr>
        <b val="true"/>
        <sz val="10"/>
        <color rgb="FF000000"/>
        <rFont val="Metropolis"/>
        <family val="0"/>
        <charset val="1"/>
      </rPr>
      <t xml:space="preserve">Physical Hardware</t>
    </r>
    <r>
      <rPr>
        <sz val="10"/>
        <color rgb="FF000000"/>
        <rFont val="Metropolis"/>
        <family val="0"/>
        <charset val="1"/>
      </rPr>
      <t xml:space="preserve"> - Racked and cabled and must be installed with ESXi. (Minimum of 4 hosts per cluster type if using vSAN as a datastore.</t>
    </r>
  </si>
  <si>
    <t xml:space="preserve">Verified</t>
  </si>
  <si>
    <t xml:space="preserve">All hosts must be installed with a basic installation of ESXi.</t>
  </si>
  <si>
    <r>
      <rPr>
        <b val="true"/>
        <sz val="10"/>
        <color rgb="FF000000"/>
        <rFont val="Metropolis"/>
        <family val="0"/>
        <charset val="1"/>
      </rPr>
      <t xml:space="preserve">ESXi Configuration</t>
    </r>
    <r>
      <rPr>
        <sz val="10"/>
        <color rgb="FF000000"/>
        <rFont val="Metropolis"/>
        <family val="0"/>
        <charset val="1"/>
      </rPr>
      <t xml:space="preserve"> - All ESXi hosts must be configured with the following settings:
  - Static IP Address assigned to the Management interface (vmk0)
  - Management Network portgroup configured with correct VLAN ID
  - VM Network portgroup configured with the same VLAN ID as the Management Network
  - TSM-SSH Service enabled and policy set to 'Start and Stop with Host'
  - NTP Service enabled, configured and policy set to 'Start and Stop with Host'</t>
    </r>
  </si>
  <si>
    <t xml:space="preserve">NTP and DNS settings must be the same as the VMware Cloud Builder Appliance</t>
  </si>
  <si>
    <r>
      <rPr>
        <b val="true"/>
        <sz val="10"/>
        <color rgb="FF000000"/>
        <rFont val="Metropolis"/>
        <family val="0"/>
        <charset val="1"/>
      </rPr>
      <t xml:space="preserve">vSAN Configuration</t>
    </r>
    <r>
      <rPr>
        <sz val="10"/>
        <color rgb="FF000000"/>
        <rFont val="Metropolis"/>
        <family val="0"/>
        <charset val="1"/>
      </rPr>
      <t xml:space="preserve"> - All disks available for use.</t>
    </r>
  </si>
  <si>
    <t xml:space="preserve">DNS Configuration - Pre-Configured</t>
  </si>
  <si>
    <r>
      <rPr>
        <b val="true"/>
        <sz val="10"/>
        <color rgb="FF000000"/>
        <rFont val="Metropolis"/>
        <family val="0"/>
        <charset val="1"/>
      </rPr>
      <t xml:space="preserve">Virtual Infrastructure Layer</t>
    </r>
    <r>
      <rPr>
        <sz val="10"/>
        <color rgb="FF000000"/>
        <rFont val="Metropolis"/>
        <family val="0"/>
        <charset val="1"/>
      </rPr>
      <t xml:space="preserve"> - All proposed hostnames are resolvable for forward, reverse, short name and long name resolution. 
  - vCenter Server
  - NSX-T Management Cluster
  - SDDC Manager</t>
    </r>
  </si>
  <si>
    <t xml:space="preserve">Proposed VM Name</t>
  </si>
  <si>
    <t xml:space="preserve">Application</t>
  </si>
  <si>
    <t xml:space="preserve">Operating System</t>
  </si>
  <si>
    <t xml:space="preserve">vCPUs</t>
  </si>
  <si>
    <t xml:space="preserve">vRAM</t>
  </si>
  <si>
    <t xml:space="preserve">Storage Total GB</t>
  </si>
  <si>
    <t xml:space="preserve">Version</t>
  </si>
  <si>
    <t xml:space="preserve">License Key</t>
  </si>
  <si>
    <t xml:space="preserve">Management Domain</t>
  </si>
  <si>
    <t xml:space="preserve">ESXi</t>
  </si>
  <si>
    <t xml:space="preserve">vSAN</t>
  </si>
  <si>
    <t xml:space="preserve">vCenter Server</t>
  </si>
  <si>
    <t xml:space="preserve">Virtual Appliance</t>
  </si>
  <si>
    <t xml:space="preserve">NSX-T Manager Cluster</t>
  </si>
  <si>
    <t xml:space="preserve">-</t>
  </si>
  <si>
    <t xml:space="preserve">NSX-T Virtual Appliance Node #1</t>
  </si>
  <si>
    <t xml:space="preserve">NSX-T Virtual Appliance Node #2</t>
  </si>
  <si>
    <t xml:space="preserve">NSX-T Virtual Appliance Node #3</t>
  </si>
  <si>
    <t xml:space="preserve">NSX-T Edge Node #1 - North-South</t>
  </si>
  <si>
    <t xml:space="preserve">NSX-T Edge Node #2 - North-South</t>
  </si>
  <si>
    <t xml:space="preserve">SDDC Manager Appliance</t>
  </si>
  <si>
    <t xml:space="preserve">Virtual Infrastructure Totals</t>
  </si>
  <si>
    <t xml:space="preserve">Thick Provisioned</t>
  </si>
  <si>
    <t xml:space="preserve">Management Workload Domain Calculations</t>
  </si>
  <si>
    <t xml:space="preserve">vCPU</t>
  </si>
  <si>
    <t xml:space="preserve">Storage</t>
  </si>
  <si>
    <t xml:space="preserve">Total Resources</t>
  </si>
  <si>
    <t xml:space="preserve">Total with 30% free</t>
  </si>
  <si>
    <t xml:space="preserve">Cluster Configuration</t>
  </si>
  <si>
    <t xml:space="preserve">Storage Calculation</t>
  </si>
  <si>
    <t xml:space="preserve">Total Hosts</t>
  </si>
  <si>
    <t xml:space="preserve">Hosts</t>
  </si>
  <si>
    <t xml:space="preserve">Total VSAN Storage</t>
  </si>
  <si>
    <t xml:space="preserve">GB</t>
  </si>
  <si>
    <t xml:space="preserve">Host Failure</t>
  </si>
  <si>
    <t xml:space="preserve">FTT</t>
  </si>
  <si>
    <t xml:space="preserve">Remaining Hosts</t>
  </si>
  <si>
    <t xml:space="preserve">Overhead</t>
  </si>
  <si>
    <t xml:space="preserve">%</t>
  </si>
  <si>
    <t xml:space="preserve">Storage Needed per Host</t>
  </si>
  <si>
    <t xml:space="preserve">RAM Calculations (Without ESXi efficiencies)</t>
  </si>
  <si>
    <t xml:space="preserve">Server Configuration</t>
  </si>
  <si>
    <t xml:space="preserve">SSD</t>
  </si>
  <si>
    <t xml:space="preserve">HDD</t>
  </si>
  <si>
    <t xml:space="preserve">Total Needed Per Host</t>
  </si>
  <si>
    <t xml:space="preserve">Disk Size (GB)</t>
  </si>
  <si>
    <t xml:space="preserve">Host Config</t>
  </si>
  <si>
    <t xml:space="preserve">Disks per host</t>
  </si>
  <si>
    <t xml:space="preserve">Host Memory Utilization</t>
  </si>
  <si>
    <t xml:space="preserve">Total RAW by Host</t>
  </si>
  <si>
    <t xml:space="preserve">Host Utilization Host Down</t>
  </si>
  <si>
    <t xml:space="preserve">Total RAW by Cluster</t>
  </si>
  <si>
    <t xml:space="preserve">Host Memory Utilization Host Down</t>
  </si>
  <si>
    <t xml:space="preserve">CPU Calculation</t>
  </si>
  <si>
    <t xml:space="preserve">Host Sockets</t>
  </si>
  <si>
    <t xml:space="preserve">CPUs</t>
  </si>
  <si>
    <t xml:space="preserve">Host Cores</t>
  </si>
  <si>
    <t xml:space="preserve">Cores</t>
  </si>
  <si>
    <t xml:space="preserve">Total Cluster Cores</t>
  </si>
  <si>
    <t xml:space="preserve">vCPU Per Core</t>
  </si>
  <si>
    <t xml:space="preserve">vCPU Per Core Host Down</t>
  </si>
  <si>
    <t xml:space="preserve">Infrastructure Information</t>
  </si>
  <si>
    <r>
      <rPr>
        <b val="true"/>
        <sz val="10"/>
        <rFont val="Metropolis"/>
        <family val="0"/>
        <charset val="1"/>
      </rPr>
      <t xml:space="preserve">Instructions: </t>
    </r>
    <r>
      <rPr>
        <sz val="10"/>
        <rFont val="Metropolis"/>
        <family val="0"/>
        <charset val="1"/>
      </rPr>
      <t xml:space="preserve">Use the Users and Groups tab to input the default passwords used for built-in accounts for each component, these will be used to implement the Management Domain.
- Grey cells are for information purposes and cannot be modified.
- </t>
    </r>
    <r>
      <rPr>
        <sz val="10"/>
        <color rgb="FFFF0000"/>
        <rFont val="Metropolis"/>
        <family val="0"/>
        <charset val="1"/>
      </rPr>
      <t xml:space="preserve">Red cells mean the input data is either missing and required or some type of validation of the input data has failed.
</t>
    </r>
    <r>
      <rPr>
        <b val="true"/>
        <sz val="10"/>
        <rFont val="Metropolis"/>
        <family val="0"/>
        <charset val="1"/>
      </rPr>
      <t xml:space="preserve">Password Policy</t>
    </r>
    <r>
      <rPr>
        <sz val="10"/>
        <rFont val="Metropolis"/>
        <family val="0"/>
        <charset val="1"/>
      </rPr>
      <t xml:space="preserve">: Each password has its own password policy typically a minimum number of characters in length and atleast one uppercase, lowercase, number and special character (e.g: @!#$%?^). Unsupported: Ambiguous Characters (e.g: { } [ ] ( ) / \' " ` *~ , ; : .&lt; &gt;)</t>
    </r>
  </si>
  <si>
    <t xml:space="preserve">Users</t>
  </si>
  <si>
    <t xml:space="preserve">Username</t>
  </si>
  <si>
    <t xml:space="preserve">Default Password</t>
  </si>
  <si>
    <t xml:space="preserve">Description</t>
  </si>
  <si>
    <t xml:space="preserve">Account Type</t>
  </si>
  <si>
    <t xml:space="preserve">root</t>
  </si>
  <si>
    <t xml:space="preserve">ESXi Host Root Account (Same for all ESXi hosts)</t>
  </si>
  <si>
    <t xml:space="preserve">Local</t>
  </si>
  <si>
    <t xml:space="preserve">administrator@vsphere.local</t>
  </si>
  <si>
    <t xml:space="preserve">Default Single-Sign On Domain Administrator User</t>
  </si>
  <si>
    <t xml:space="preserve">vCenter Server Virtual Appliances Root Account</t>
  </si>
  <si>
    <t xml:space="preserve">NSX-T Data Center on vSphere</t>
  </si>
  <si>
    <t xml:space="preserve">NSX-T Virtual Appliance Root Account - NSX-T Manager and Edge Nodes</t>
  </si>
  <si>
    <t xml:space="preserve">admin</t>
  </si>
  <si>
    <t xml:space="preserve">NSX-T User Interface and Default CLI Admin Account - NSX-T Manager and Edge Nodes</t>
  </si>
  <si>
    <t xml:space="preserve">audit</t>
  </si>
  <si>
    <t xml:space="preserve">NSX-T Audit CLI Account - NSX-T Manager and Edge Nodes</t>
  </si>
  <si>
    <t xml:space="preserve">SDDC Manager</t>
  </si>
  <si>
    <t xml:space="preserve">SDDC Manager Appliance Root Account</t>
  </si>
  <si>
    <t xml:space="preserve">vcf</t>
  </si>
  <si>
    <t xml:space="preserve">SDDC Manager Super User</t>
  </si>
  <si>
    <t xml:space="preserve">admin@local</t>
  </si>
  <si>
    <t xml:space="preserve">SDDC Manager Local Account</t>
  </si>
  <si>
    <t xml:space="preserve">SDDC Manager REST API User</t>
  </si>
  <si>
    <r>
      <rPr>
        <b val="true"/>
        <sz val="10.5"/>
        <rFont val="Metropolis"/>
        <family val="0"/>
        <charset val="1"/>
      </rPr>
      <t xml:space="preserve">Instructions:</t>
    </r>
    <r>
      <rPr>
        <sz val="10.5"/>
        <rFont val="Metropolis"/>
        <family val="0"/>
        <charset val="1"/>
      </rPr>
      <t xml:space="preserve"> Use the </t>
    </r>
    <r>
      <rPr>
        <i val="true"/>
        <sz val="10.5"/>
        <rFont val="Metropolis"/>
        <family val="0"/>
        <charset val="1"/>
      </rPr>
      <t xml:space="preserve">Hosts and Networks</t>
    </r>
    <r>
      <rPr>
        <sz val="10.5"/>
        <rFont val="Metropolis"/>
        <family val="0"/>
        <charset val="1"/>
      </rPr>
      <t xml:space="preserve"> tab to input network details, hostname and IPs for the ESXi hosts to be used to implement the Management Domain.
- Grey cells are for information purposes and cannot be modified.
- </t>
    </r>
    <r>
      <rPr>
        <b val="true"/>
        <sz val="10.5"/>
        <color rgb="FFFF0000"/>
        <rFont val="Metropolis"/>
        <family val="0"/>
        <charset val="1"/>
      </rPr>
      <t xml:space="preserve">Red cells mean the input data is either missing and mandatory or some type of validation of the input data has failed.
</t>
    </r>
    <r>
      <rPr>
        <sz val="10.5"/>
        <rFont val="Metropolis"/>
        <family val="0"/>
        <charset val="1"/>
      </rPr>
      <t xml:space="preserve">- Yellow cells indicate input data, default values are included to help illustrate the formatting to be used and align to the VMware documentation</t>
    </r>
    <r>
      <rPr>
        <b val="true"/>
        <sz val="10.5"/>
        <rFont val="Metropolis"/>
        <family val="0"/>
        <charset val="1"/>
      </rPr>
      <t xml:space="preserve">.</t>
    </r>
    <r>
      <rPr>
        <sz val="10.5"/>
        <rFont val="Metropolis"/>
        <family val="0"/>
        <charset val="1"/>
      </rPr>
      <t xml:space="preserve"> </t>
    </r>
    <r>
      <rPr>
        <b val="true"/>
        <sz val="10.5"/>
        <color rgb="FFFF0000"/>
        <rFont val="Metropolis"/>
        <family val="0"/>
        <charset val="1"/>
      </rPr>
      <t xml:space="preserve">If a value is not required enter 'n/a', if it turns red then its mandatory.</t>
    </r>
  </si>
  <si>
    <t xml:space="preserve">Management Domain Networks</t>
  </si>
  <si>
    <t xml:space="preserve">Management Domain ESXi Hosts</t>
  </si>
  <si>
    <t xml:space="preserve">Network Type</t>
  </si>
  <si>
    <t xml:space="preserve">VLAN #</t>
  </si>
  <si>
    <t xml:space="preserve">Portgroup Name</t>
  </si>
  <si>
    <t xml:space="preserve">CIDR Notation</t>
  </si>
  <si>
    <t xml:space="preserve">Gateway</t>
  </si>
  <si>
    <t xml:space="preserve">MTU</t>
  </si>
  <si>
    <t xml:space="preserve">gbb01-m01-esx01</t>
  </si>
  <si>
    <t xml:space="preserve">gbb01-m01-esx02</t>
  </si>
  <si>
    <t xml:space="preserve">gbb01-m01-esx03</t>
  </si>
  <si>
    <t xml:space="preserve">gbb01-m01-esx04</t>
  </si>
  <si>
    <t xml:space="preserve">Management Network</t>
  </si>
  <si>
    <t xml:space="preserve">201</t>
  </si>
  <si>
    <t xml:space="preserve">gbb01-m01-cl01-vds01-pg-mgmt</t>
  </si>
  <si>
    <t xml:space="preserve">10.1.1.0/24</t>
  </si>
  <si>
    <t xml:space="preserve">10.1.1.1</t>
  </si>
  <si>
    <t xml:space="preserve">10.1.1.11</t>
  </si>
  <si>
    <t xml:space="preserve">10.1.1.12</t>
  </si>
  <si>
    <t xml:space="preserve">10.1.1.13</t>
  </si>
  <si>
    <t xml:space="preserve">10.1.1.14</t>
  </si>
  <si>
    <t xml:space="preserve">vMotion Network</t>
  </si>
  <si>
    <t xml:space="preserve">202</t>
  </si>
  <si>
    <t xml:space="preserve">gbb01-m01-cl01-vds01-pg-vmotion</t>
  </si>
  <si>
    <t xml:space="preserve">10.1.2.0/24</t>
  </si>
  <si>
    <t xml:space="preserve">10.1.2.1</t>
  </si>
  <si>
    <t xml:space="preserve">vMotion Start IP</t>
  </si>
  <si>
    <t xml:space="preserve">10.1.2.101</t>
  </si>
  <si>
    <t xml:space="preserve">vMotion End IP</t>
  </si>
  <si>
    <t xml:space="preserve">10.1.2.130</t>
  </si>
  <si>
    <t xml:space="preserve">vSAN Network</t>
  </si>
  <si>
    <t xml:space="preserve">203</t>
  </si>
  <si>
    <t xml:space="preserve">gbb01-m01-cl01-vds01-pg-vsan</t>
  </si>
  <si>
    <t xml:space="preserve">10.1.3.0/24</t>
  </si>
  <si>
    <t xml:space="preserve">10.1.3.1</t>
  </si>
  <si>
    <t xml:space="preserve">vSAN Start IP</t>
  </si>
  <si>
    <t xml:space="preserve">10.1.3.201</t>
  </si>
  <si>
    <t xml:space="preserve">vSAN End IP</t>
  </si>
  <si>
    <t xml:space="preserve">10.1.3.230</t>
  </si>
  <si>
    <t xml:space="preserve">NSX-T Edge Uplink 1</t>
  </si>
  <si>
    <t xml:space="preserve">gbb-m01-cl01-vds01-pg-uplink01</t>
  </si>
  <si>
    <t xml:space="preserve">10.1.5.0/24</t>
  </si>
  <si>
    <t xml:space="preserve">10.1.5.1</t>
  </si>
  <si>
    <t xml:space="preserve">NSX-T Edge Uplink 2</t>
  </si>
  <si>
    <t xml:space="preserve">gbb-m01-cl01-vds01-pg-uplink02</t>
  </si>
  <si>
    <t xml:space="preserve">10.1.6.0/24</t>
  </si>
  <si>
    <t xml:space="preserve">10.1.6.1</t>
  </si>
  <si>
    <t xml:space="preserve">Security Thumbprints</t>
  </si>
  <si>
    <t xml:space="preserve"> Validate Thumbprints</t>
  </si>
  <si>
    <t xml:space="preserve">No</t>
  </si>
  <si>
    <t xml:space="preserve">NSX-T Edge Overlay</t>
  </si>
  <si>
    <t xml:space="preserve">n/a</t>
  </si>
  <si>
    <t xml:space="preserve">10.1.4.0/24</t>
  </si>
  <si>
    <t xml:space="preserve">10.1.4.1</t>
  </si>
  <si>
    <t xml:space="preserve">ESXi Hosts</t>
  </si>
  <si>
    <t xml:space="preserve">SSH RSA Key Fingerprints (SHA256)</t>
  </si>
  <si>
    <t xml:space="preserve">SSL Thumbprints (SHA256)</t>
  </si>
  <si>
    <t xml:space="preserve">Example Input</t>
  </si>
  <si>
    <t xml:space="preserve">SHA256:RBA2O5XImupEfJSaoBcYYzc0aR9gWjlkY8VqptIub9w</t>
  </si>
  <si>
    <t xml:space="preserve">27:09:80:C3:59:00:73:F0:80:93:15:36:7E:5D:C9:72:69:32:EF:99</t>
  </si>
  <si>
    <t xml:space="preserve">Virtual Networking</t>
  </si>
  <si>
    <t xml:space="preserve">Value</t>
  </si>
  <si>
    <t xml:space="preserve">vSphere Standard Switch Name</t>
  </si>
  <si>
    <t xml:space="preserve">vSwitch0</t>
  </si>
  <si>
    <t xml:space="preserve">Primary vSphere Distributed Switch</t>
  </si>
  <si>
    <t xml:space="preserve">Primary vSphere Distributed Switch - Name</t>
  </si>
  <si>
    <t xml:space="preserve">gbb-m01-cl01-vds01</t>
  </si>
  <si>
    <t xml:space="preserve">Primary vSphere Distributed Switch - pNICs</t>
  </si>
  <si>
    <t xml:space="preserve">vmnic0,vmnic1,vmnic2,vmnic3</t>
  </si>
  <si>
    <t xml:space="preserve">Primary vSphere Distributed Switch - MTU Size</t>
  </si>
  <si>
    <t xml:space="preserve">8490</t>
  </si>
  <si>
    <t xml:space="preserve">Secondary vSphere Distributed Switch (Optional)</t>
  </si>
  <si>
    <t xml:space="preserve">Secondary vSphere Distributed Switch - Name</t>
  </si>
  <si>
    <t xml:space="preserve">VLAN ID</t>
  </si>
  <si>
    <t xml:space="preserve">Secondary vSphere Distributed Switch - pNICs</t>
  </si>
  <si>
    <t xml:space="preserve">vmnic2,vmnic3</t>
  </si>
  <si>
    <t xml:space="preserve">Secondary vSphere Distributed Switch - MTU Size</t>
  </si>
  <si>
    <t xml:space="preserve">Configure NSX-T Host Overlay Using a Static IP Pool</t>
  </si>
  <si>
    <t xml:space="preserve">Pool Description</t>
  </si>
  <si>
    <t xml:space="preserve">ESXi Host Overlay TEP IP Pool</t>
  </si>
  <si>
    <t xml:space="preserve">vSphere Distributed Switch Profile</t>
  </si>
  <si>
    <t xml:space="preserve">Profile-1</t>
  </si>
  <si>
    <t xml:space="preserve">Pool Name</t>
  </si>
  <si>
    <t xml:space="preserve">sfo01-m01-cl01-tep01</t>
  </si>
  <si>
    <t xml:space="preserve">172.16.14.0/24</t>
  </si>
  <si>
    <t xml:space="preserve">172.16.14.1</t>
  </si>
  <si>
    <t xml:space="preserve">NSX-T Host Overlay Start IP</t>
  </si>
  <si>
    <t xml:space="preserve">172.16.14.101</t>
  </si>
  <si>
    <t xml:space="preserve">NSX-T Host Overlay End IP</t>
  </si>
  <si>
    <t xml:space="preserve">172.16.14.108</t>
  </si>
  <si>
    <r>
      <rPr>
        <b val="true"/>
        <sz val="10"/>
        <rFont val="Metropolis"/>
        <family val="0"/>
        <charset val="1"/>
      </rPr>
      <t xml:space="preserve">Instructions: </t>
    </r>
    <r>
      <rPr>
        <sz val="10"/>
        <rFont val="Metropolis"/>
        <family val="0"/>
        <charset val="1"/>
      </rPr>
      <t xml:space="preserve">Use the </t>
    </r>
    <r>
      <rPr>
        <i val="true"/>
        <sz val="10"/>
        <rFont val="Metropolis"/>
        <family val="0"/>
        <charset val="1"/>
      </rPr>
      <t xml:space="preserve">Deployment Parameters</t>
    </r>
    <r>
      <rPr>
        <sz val="10"/>
        <rFont val="Metropolis"/>
        <family val="0"/>
        <charset val="1"/>
      </rPr>
      <t xml:space="preserve"> tab to input configuration details for physical infrastructure and the components used to implement the Management Domain.
- Grey cells are for information purposes and cannot be modified.
- </t>
    </r>
    <r>
      <rPr>
        <b val="true"/>
        <sz val="10"/>
        <color rgb="FFFF0000"/>
        <rFont val="Metropolis"/>
        <family val="0"/>
        <charset val="1"/>
      </rPr>
      <t xml:space="preserve">Red cells mean the input data is either missing and mandatory or some type of validation of the input data has failed.
</t>
    </r>
    <r>
      <rPr>
        <sz val="10"/>
        <rFont val="Metropolis"/>
        <family val="0"/>
        <charset val="1"/>
      </rPr>
      <t xml:space="preserve">- </t>
    </r>
    <r>
      <rPr>
        <b val="true"/>
        <sz val="10"/>
        <rFont val="Metropolis"/>
        <family val="0"/>
        <charset val="1"/>
      </rPr>
      <t xml:space="preserve">Yellow cells indicate input data, default values are included to help illustrate the formatting to be used and align to the VMware documentation. </t>
    </r>
    <r>
      <rPr>
        <sz val="10"/>
        <color rgb="FFFF0000"/>
        <rFont val="Metropolis"/>
        <family val="0"/>
        <charset val="1"/>
      </rPr>
      <t xml:space="preserve">If a value is not required enter 'n/a', if it turns red then its mandatory.</t>
    </r>
  </si>
  <si>
    <t xml:space="preserve">Existing Infrastructure Details</t>
  </si>
  <si>
    <t xml:space="preserve">Infrastructure</t>
  </si>
  <si>
    <t xml:space="preserve">DNS Zone</t>
  </si>
  <si>
    <t xml:space="preserve">Physical Servers Racked with Cabling</t>
  </si>
  <si>
    <t xml:space="preserve">DNS Server #1 </t>
  </si>
  <si>
    <t xml:space="preserve">10.1.1.2</t>
  </si>
  <si>
    <t xml:space="preserve">DNS Zone Name</t>
  </si>
  <si>
    <t xml:space="preserve">vcfrnd.com</t>
  </si>
  <si>
    <t xml:space="preserve">DNS Server and DNS Zone Defined</t>
  </si>
  <si>
    <t xml:space="preserve">DNS Server #2</t>
  </si>
  <si>
    <t xml:space="preserve">NTP Servers</t>
  </si>
  <si>
    <t xml:space="preserve">NTP Server #1</t>
  </si>
  <si>
    <t xml:space="preserve">Enable Customer Experience Improvement Program (“CEIP”)</t>
  </si>
  <si>
    <t xml:space="preserve">Yes</t>
  </si>
  <si>
    <t xml:space="preserve">NTP Server #2</t>
  </si>
  <si>
    <t xml:space="preserve">vSphere Infrastructure</t>
  </si>
  <si>
    <t xml:space="preserve">Hostname</t>
  </si>
  <si>
    <t xml:space="preserve">IP Address</t>
  </si>
  <si>
    <t xml:space="preserve">vSphere Datastore</t>
  </si>
  <si>
    <t xml:space="preserve">vSphere Server - Resolvable in DNS</t>
  </si>
  <si>
    <t xml:space="preserve">vCenter Server Hostname and IP Address</t>
  </si>
  <si>
    <t xml:space="preserve">gbb-m01-vc01</t>
  </si>
  <si>
    <t xml:space="preserve">10.1.1.3</t>
  </si>
  <si>
    <t xml:space="preserve">vSAN Datastore Name</t>
  </si>
  <si>
    <t xml:space="preserve">gbb-m01-cl01-ds-vsan01</t>
  </si>
  <si>
    <t xml:space="preserve">ESXi Hosts Ready for Deployment</t>
  </si>
  <si>
    <t xml:space="preserve">vCenter Server Appliance Size (Default Small)</t>
  </si>
  <si>
    <t xml:space="preserve">tiny</t>
  </si>
  <si>
    <t xml:space="preserve">Enable vSAN Deduplication and Compression</t>
  </si>
  <si>
    <t xml:space="preserve">Default password for ESXi Hosts Defined</t>
  </si>
  <si>
    <t xml:space="preserve">vCenter Server Appliance Storage Size</t>
  </si>
  <si>
    <t xml:space="preserve">default</t>
  </si>
  <si>
    <t xml:space="preserve">vCenter Server - Hostname and Static IP Defined</t>
  </si>
  <si>
    <t xml:space="preserve">Existing Single Sign-On Domain Configuration Details</t>
  </si>
  <si>
    <t xml:space="preserve">vCenter Datacenter and Cluster Defined</t>
  </si>
  <si>
    <t xml:space="preserve">vCenter Datacenter and Cluster</t>
  </si>
  <si>
    <t xml:space="preserve">Join Existing Single Sign-On Domain</t>
  </si>
  <si>
    <t xml:space="preserve">vSphere Resource Pools Defined</t>
  </si>
  <si>
    <t xml:space="preserve">Datacenter Name</t>
  </si>
  <si>
    <t xml:space="preserve">gbb-m01-dc01</t>
  </si>
  <si>
    <t xml:space="preserve">vCenter Server FQDN</t>
  </si>
  <si>
    <t xml:space="preserve">lax01-m01-vc01.lax.rainpole.io</t>
  </si>
  <si>
    <t xml:space="preserve">Virtual Networking Defined</t>
  </si>
  <si>
    <t xml:space="preserve">Cluster Name</t>
  </si>
  <si>
    <t xml:space="preserve">gbb-m01-cl01</t>
  </si>
  <si>
    <t xml:space="preserve">vCenter Server Single Sign-On Username</t>
  </si>
  <si>
    <t xml:space="preserve">vSphere Datastores Defined</t>
  </si>
  <si>
    <t xml:space="preserve">Cluster EVC Setting</t>
  </si>
  <si>
    <t xml:space="preserve">vCenter Server Single Sign-On Password</t>
  </si>
  <si>
    <t xml:space="preserve">VMw@re1!</t>
  </si>
  <si>
    <t xml:space="preserve">vCenter Server SSL Thumbprint</t>
  </si>
  <si>
    <t xml:space="preserve">Select the VCF Architecture to be deployed:</t>
  </si>
  <si>
    <t xml:space="preserve">Consolidated</t>
  </si>
  <si>
    <t xml:space="preserve">27:09:80:C3:59:00:73:F0:80:93:15:36:7E:5D:C9:72:69:32:EF:99	</t>
  </si>
  <si>
    <t xml:space="preserve">vSphere Resource Pools</t>
  </si>
  <si>
    <t xml:space="preserve">Resource Pool SDDC Management</t>
  </si>
  <si>
    <t xml:space="preserve">gbb-m01-cl01-rp-sddc-mgmt</t>
  </si>
  <si>
    <t xml:space="preserve">Resource Pool SDDC Edge</t>
  </si>
  <si>
    <t xml:space="preserve">gbb-m01-cl01-rp-sddc-edge</t>
  </si>
  <si>
    <t xml:space="preserve">Resource Pool User Edge</t>
  </si>
  <si>
    <t xml:space="preserve">gbb-m01-cl01-rp-user-edge</t>
  </si>
  <si>
    <t xml:space="preserve">Resource Pool User VM</t>
  </si>
  <si>
    <t xml:space="preserve">gbb-m01-cl01-rp-user-vm</t>
  </si>
  <si>
    <t xml:space="preserve">NSX-T Management Cluster</t>
  </si>
  <si>
    <t xml:space="preserve">Do you want to deploy and configure Application Virtual Networks?</t>
  </si>
  <si>
    <t xml:space="preserve">NSX-T Nodes - Resolvable in DNS</t>
  </si>
  <si>
    <t xml:space="preserve">NSX-T Management Cluster VIP</t>
  </si>
  <si>
    <t xml:space="preserve">gbb-m01-nsx01</t>
  </si>
  <si>
    <t xml:space="preserve">10.1.1.4</t>
  </si>
  <si>
    <t xml:space="preserve">NSX-T Nodes - Hostnames and Static IPs Defined</t>
  </si>
  <si>
    <t xml:space="preserve">gbb-m01-nsx01a</t>
  </si>
  <si>
    <t xml:space="preserve">10.1.1.5</t>
  </si>
  <si>
    <t xml:space="preserve">gbb-m01-nsx01b</t>
  </si>
  <si>
    <t xml:space="preserve">10.1.1.6</t>
  </si>
  <si>
    <t xml:space="preserve">gbb-m01-nsx01c</t>
  </si>
  <si>
    <t xml:space="preserve">10.1.1.7</t>
  </si>
  <si>
    <t xml:space="preserve">NSX-T Virtual Appliance Size (Default Medium)</t>
  </si>
  <si>
    <t xml:space="preserve">small</t>
  </si>
  <si>
    <t xml:space="preserve">Application Virtual Networks - Used to Deploy Solutions on VMware Cloud Foundation</t>
  </si>
  <si>
    <t xml:space="preserve">NSX-T Edge Nodes with (ECMP)</t>
  </si>
  <si>
    <t xml:space="preserve">Top of Rack Switches for BGP Peering</t>
  </si>
  <si>
    <t xml:space="preserve">NSX-T Edge Cluster Name</t>
  </si>
  <si>
    <t xml:space="preserve">gbb-m01-ec01</t>
  </si>
  <si>
    <t xml:space="preserve">Top of Rack 1 - IP Address</t>
  </si>
  <si>
    <t xml:space="preserve">NSX-T Edge Nodes Autonomous System ID</t>
  </si>
  <si>
    <t xml:space="preserve">Top of Rack 1 - Autonomous System ID</t>
  </si>
  <si>
    <t xml:space="preserve">NSX-T Edge Node Appliance Size (Default Medium)</t>
  </si>
  <si>
    <t xml:space="preserve">Top of Rack 1 - BGP Neighbor Password</t>
  </si>
  <si>
    <t xml:space="preserve">North-South Routing Edge Node 1</t>
  </si>
  <si>
    <t xml:space="preserve">Top of Rack 2 - IP Address</t>
  </si>
  <si>
    <t xml:space="preserve">Edge Name Node 1</t>
  </si>
  <si>
    <t xml:space="preserve">gbb-m01-en01</t>
  </si>
  <si>
    <t xml:space="preserve">Top of Rack 2 - Autonomous System ID</t>
  </si>
  <si>
    <t xml:space="preserve">Edge Management IP Address Node 1</t>
  </si>
  <si>
    <t xml:space="preserve">10.1.1.21</t>
  </si>
  <si>
    <t xml:space="preserve">Top of Rack 2 - BGP Neighbor Password</t>
  </si>
  <si>
    <t xml:space="preserve">Edge Uplink 1 IP Address Node 1</t>
  </si>
  <si>
    <t xml:space="preserve">10.1.5.2</t>
  </si>
  <si>
    <t xml:space="preserve">Edge Uplink 2 IP Address Node 1</t>
  </si>
  <si>
    <t xml:space="preserve">10.1.6.2</t>
  </si>
  <si>
    <t xml:space="preserve">Application Virtual Networks</t>
  </si>
  <si>
    <t xml:space="preserve">Edge Overlay IP Address #01 Node 1</t>
  </si>
  <si>
    <t xml:space="preserve">10.1.4.11</t>
  </si>
  <si>
    <t xml:space="preserve">Region Specific Application Virtual Network</t>
  </si>
  <si>
    <t xml:space="preserve">Edge Overlay IP Address #02 Node 1</t>
  </si>
  <si>
    <t xml:space="preserve">10.1.4.12</t>
  </si>
  <si>
    <t xml:space="preserve">Region A - Logical Segment</t>
  </si>
  <si>
    <t xml:space="preserve">gbb-m01-seg01</t>
  </si>
  <si>
    <t xml:space="preserve">North-South Routing Edge Node 2</t>
  </si>
  <si>
    <t xml:space="preserve">Region A - Networks</t>
  </si>
  <si>
    <t xml:space="preserve">10.1.7.1</t>
  </si>
  <si>
    <t xml:space="preserve">10.1.7.0/24</t>
  </si>
  <si>
    <t xml:space="preserve">Edge Name Node 2</t>
  </si>
  <si>
    <t xml:space="preserve">gbb-m01-en02</t>
  </si>
  <si>
    <t xml:space="preserve">Cross Region Specific Application Virtual Network</t>
  </si>
  <si>
    <t xml:space="preserve">Edge Management IP Address Node 2</t>
  </si>
  <si>
    <t xml:space="preserve">10.1.1.22</t>
  </si>
  <si>
    <t xml:space="preserve">xRegion - Logical Segment</t>
  </si>
  <si>
    <t xml:space="preserve">xreg-m01-seg01</t>
  </si>
  <si>
    <t xml:space="preserve">Edge Uplink 1 IP Address Node 2</t>
  </si>
  <si>
    <t xml:space="preserve">10.1.5.3</t>
  </si>
  <si>
    <t xml:space="preserve">xRegion - Networks</t>
  </si>
  <si>
    <t xml:space="preserve">10.1.8.1</t>
  </si>
  <si>
    <t xml:space="preserve">10.1.8.0/24</t>
  </si>
  <si>
    <t xml:space="preserve">Edge Uplink 2 IP Address Node 2</t>
  </si>
  <si>
    <t xml:space="preserve">10.1.6.3</t>
  </si>
  <si>
    <t xml:space="preserve">Edge Overlay IP Address #01 Node 2</t>
  </si>
  <si>
    <t xml:space="preserve">10.1.4.13</t>
  </si>
  <si>
    <t xml:space="preserve">Edge Overlay IP Address #02 Node 2</t>
  </si>
  <si>
    <t xml:space="preserve">10.1.4.14</t>
  </si>
  <si>
    <t xml:space="preserve">SDDC Manager - Resolvable in DNS</t>
  </si>
  <si>
    <t xml:space="preserve">SDDC Manager Hostname</t>
  </si>
  <si>
    <t xml:space="preserve">gbb-vcf01</t>
  </si>
  <si>
    <t xml:space="preserve">SDDC Manager - Hostnames and Static IP Defined</t>
  </si>
  <si>
    <t xml:space="preserve">SDDC Manager IP Address</t>
  </si>
  <si>
    <t xml:space="preserve">10.1.1.8</t>
  </si>
  <si>
    <t xml:space="preserve">Network Pool Name</t>
  </si>
  <si>
    <t xml:space="preserve">gbb-m01-np01</t>
  </si>
  <si>
    <t xml:space="preserve">Cloud Foundation Management Domain Name</t>
  </si>
  <si>
    <t xml:space="preserve">gbb-m01</t>
  </si>
  <si>
    <t xml:space="preserve">EVC_Settings</t>
  </si>
  <si>
    <t xml:space="preserve">vds_Profiles</t>
  </si>
  <si>
    <t xml:space="preserve">intel-merom</t>
  </si>
  <si>
    <t xml:space="preserve">intel-penryn</t>
  </si>
  <si>
    <t xml:space="preserve">intel-nehalem</t>
  </si>
  <si>
    <t xml:space="preserve">intel-westmere</t>
  </si>
  <si>
    <t xml:space="preserve">intel-sandybridge</t>
  </si>
  <si>
    <t xml:space="preserve">intel-ivybridge</t>
  </si>
  <si>
    <t xml:space="preserve">intel-haswell</t>
  </si>
  <si>
    <t xml:space="preserve">intel-broadwell</t>
  </si>
  <si>
    <t xml:space="preserve">intel-skylake</t>
  </si>
  <si>
    <t xml:space="preserve">intel-cascadelake</t>
  </si>
  <si>
    <t xml:space="preserve">amd-rev-e</t>
  </si>
  <si>
    <t xml:space="preserve">amd-rev-f</t>
  </si>
  <si>
    <t xml:space="preserve">amd-greyhound-no3dnow</t>
  </si>
  <si>
    <t xml:space="preserve">amd-greyhound</t>
  </si>
  <si>
    <t xml:space="preserve">amd-bulldozer</t>
  </si>
  <si>
    <t xml:space="preserve">amd-piledriver</t>
  </si>
  <si>
    <t xml:space="preserve">amd-steamroller</t>
  </si>
  <si>
    <t xml:space="preserve">amd-zen</t>
  </si>
  <si>
    <t xml:space="preserve"># *******************      V C F - E M S  -  M a n a g e m e n t   W o r k l o a d   D o m a i n       *******************</t>
  </si>
  <si>
    <t xml:space="preserve">"workflowName"</t>
  </si>
  <si>
    <t xml:space="preserve">"ceipEnabled"</t>
  </si>
  <si>
    <t xml:space="preserve">"fipsEnabled"</t>
  </si>
  <si>
    <t xml:space="preserve">"workflowVersion"</t>
  </si>
  <si>
    <t xml:space="preserve"># ******************* E X T E R N A L    I N F R A S T R U C T U R E    C O M P O N E N T S *******************</t>
  </si>
  <si>
    <t xml:space="preserve"># NTP Servers (IP or FQDN supported)</t>
  </si>
  <si>
    <t xml:space="preserve">"ntpSpec" &gt; "ntpServers"</t>
  </si>
  <si>
    <t xml:space="preserve"># DNS Services and Zone Name</t>
  </si>
  <si>
    <t xml:space="preserve">"dnsSpec" &gt; "domain"</t>
  </si>
  <si>
    <t xml:space="preserve">"dnsSpec" &gt; "nameserver"</t>
  </si>
  <si>
    <t xml:space="preserve">"dnsSpec" &gt; "subdomain"</t>
  </si>
  <si>
    <t xml:space="preserve">"dnsSpec" &gt; "secondaryNameserver"</t>
  </si>
  <si>
    <t xml:space="preserve"># ******************* S D D C    M A N A G E R  *******************</t>
  </si>
  <si>
    <t xml:space="preserve">"sddcManagerSpec" &gt; "rootUserCredentials" &gt; "password"</t>
  </si>
  <si>
    <t xml:space="preserve">"sddcManagerSpec" &gt; "secondUserCredentials" &gt; "password"</t>
  </si>
  <si>
    <t xml:space="preserve">"sddcManagerSpec" &gt; "localUserPassword </t>
  </si>
  <si>
    <t xml:space="preserve">"sddcManagerSpec" &gt; "restApiCredentials" &gt; "password"</t>
  </si>
  <si>
    <t xml:space="preserve">"sddcManagerSpec" &gt; "ipAddress"</t>
  </si>
  <si>
    <t xml:space="preserve">"sddcManagerSpec" &gt; "hostname"</t>
  </si>
  <si>
    <t xml:space="preserve">"managementPoolName"</t>
  </si>
  <si>
    <t xml:space="preserve"># ******************* V C E N T E R  S E R V E R  *******************</t>
  </si>
  <si>
    <t xml:space="preserve">"vCenterSpecs" &gt; "licenseFile"</t>
  </si>
  <si>
    <t xml:space="preserve">"vCenterSpecs" &gt; "rootVcenterPassword"</t>
  </si>
  <si>
    <t xml:space="preserve">"vCenterSpecs" &gt; "vcenterIP"</t>
  </si>
  <si>
    <t xml:space="preserve">"vCenterSpecs" &gt; "vcenterHostname"</t>
  </si>
  <si>
    <t xml:space="preserve">"vCenterSpecs" &gt; "vmSize"</t>
  </si>
  <si>
    <t xml:space="preserve"># vSphere Single Sign-On </t>
  </si>
  <si>
    <t xml:space="preserve">"pscSpecs" &gt; "adminUserSsoPassword"</t>
  </si>
  <si>
    <t xml:space="preserve">"pscSpecs" &gt; "pscSsoSpec" &gt; "ssoSiteName"</t>
  </si>
  <si>
    <t xml:space="preserve"># vSphere Lifecycle Manager</t>
  </si>
  <si>
    <t xml:space="preserve">"personalityName"</t>
  </si>
  <si>
    <t xml:space="preserve"># *******************  R E M O T E    S P E C *******************</t>
  </si>
  <si>
    <t xml:space="preserve"># Join existing Platform Services Controller SSO Domain from Region A</t>
  </si>
  <si>
    <t xml:space="preserve">"remoteSiteSpec" &gt; "pscAddress"</t>
  </si>
  <si>
    <t xml:space="preserve">"remoteSiteSpec" &gt; "vcCredentials" &gt; "userName"</t>
  </si>
  <si>
    <t xml:space="preserve">"remoteSiteSpec" &gt; "vcCredentials" &gt; "password"</t>
  </si>
  <si>
    <t xml:space="preserve">"remoteSiteSpec" &gt; "vcCredentials" &gt; "sslThumbprint"</t>
  </si>
  <si>
    <t xml:space="preserve"># ******************* V S A N *******************</t>
  </si>
  <si>
    <t xml:space="preserve">"vsanSpecs" &gt; "licenseFile"</t>
  </si>
  <si>
    <t xml:space="preserve">"vsanSpecs" &gt; "datastoreName"</t>
  </si>
  <si>
    <t xml:space="preserve">"vsanSpecs" &gt; "vsanDedup"</t>
  </si>
  <si>
    <t xml:space="preserve"># ******************* E S X I  H O S T S *******************</t>
  </si>
  <si>
    <t xml:space="preserve"># This subscription license is used for ESX, VC, VSAN, NSX, SDDC Manager when supplied</t>
  </si>
  <si>
    <t xml:space="preserve"># ESXi Host License Key</t>
  </si>
  <si>
    <t xml:space="preserve">"esxLicense"</t>
  </si>
  <si>
    <t xml:space="preserve"># Default credentials for all ESXi servers, all installations must have the same user name and password.</t>
  </si>
  <si>
    <t xml:space="preserve">"esxiHostSpecs" &gt; "esxiCredentials" &gt; "userName"</t>
  </si>
  <si>
    <t xml:space="preserve">"esxiHostSpecs" &gt; "esxiCredentials" &gt; "password"</t>
  </si>
  <si>
    <t xml:space="preserve"># vSphere Standard Switch</t>
  </si>
  <si>
    <t xml:space="preserve">"esxiHostSpecs" &gt; "vSwitch"</t>
  </si>
  <si>
    <t xml:space="preserve"># Hosts needed for the management cluster, this is where we deploy all the solutions. Up to 8 hosts, 2 is the minimum.</t>
  </si>
  <si>
    <t xml:space="preserve">"esxiHostSpecs" &gt; "ipAddressPrivate" &gt; "ipAddress"</t>
  </si>
  <si>
    <t xml:space="preserve">"esxiHostSpecs" &gt; "esxiHostname"</t>
  </si>
  <si>
    <t xml:space="preserve"># ESXi Security Thumbprints</t>
  </si>
  <si>
    <t xml:space="preserve">"skipEsxThumbprintValidation"</t>
  </si>
  <si>
    <t xml:space="preserve"># SSH Thumbprints</t>
  </si>
  <si>
    <t xml:space="preserve"># SSL Thumbprints</t>
  </si>
  <si>
    <t xml:space="preserve"># ******************* D A T A C E N T E R   /   C L U S T E R  *******************</t>
  </si>
  <si>
    <t xml:space="preserve">"esxiHostSpecs" &gt; "association"  |  "networkSpecs" &gt; "association" </t>
  </si>
  <si>
    <t xml:space="preserve">"clusterSpecs" &gt; "clusterId</t>
  </si>
  <si>
    <t xml:space="preserve">"clusterSpecs" &gt; "clusterEvcMode"</t>
  </si>
  <si>
    <t xml:space="preserve"># vSphere Resource Pools</t>
  </si>
  <si>
    <t xml:space="preserve">"clusterSpecs" &gt; "resourcePoolSpecs" &gt; "name"</t>
  </si>
  <si>
    <t xml:space="preserve"># ******************* D I S T R I B U T E D  S W I T C H E S  *******************</t>
  </si>
  <si>
    <t xml:space="preserve">"dvsSpecs" &gt; "dvsId"</t>
  </si>
  <si>
    <t xml:space="preserve">"dvsSpecs" &gt; "vmnics"</t>
  </si>
  <si>
    <t xml:space="preserve">"dvsSpecs" &gt; "mtu"</t>
  </si>
  <si>
    <t xml:space="preserve"># Management Network - Management Domain - "networkType": "MANAGEMENT"</t>
  </si>
  <si>
    <t xml:space="preserve">"networkSpecs" &gt; "subnet" | "esxiHostSpecs" &gt; "ipAddressPrivate" &gt; "cidr"</t>
  </si>
  <si>
    <t xml:space="preserve">"networkSpecs" &gt; "gateway" | "esxiHostSpecs" &gt; "ipAddressPrivate" &gt; "gateway"</t>
  </si>
  <si>
    <t xml:space="preserve">"networkSpecs" &gt; "VLANId"</t>
  </si>
  <si>
    <t xml:space="preserve">"networkSpecs" &gt; "mtu"</t>
  </si>
  <si>
    <t xml:space="preserve">"networkSpecs" &gt; "portGroupKey"</t>
  </si>
  <si>
    <t xml:space="preserve"># Management Network - Management Domain - "networkType": "VSAN"</t>
  </si>
  <si>
    <t xml:space="preserve"># Management Network - Management Domain - "networkType": "VMOTION"</t>
  </si>
  <si>
    <t xml:space="preserve"># Management Network - Management Domain - "networkType": "UPLINK01"</t>
  </si>
  <si>
    <t xml:space="preserve"># Management Network - Management Domain - "networkType": "UPLINK02"</t>
  </si>
  <si>
    <t xml:space="preserve"># Application Virtual Networks - Management Domain - "networkType": "X_REGION"</t>
  </si>
  <si>
    <t xml:space="preserve"># Application Virtual Networks - Management Domain - "networkType": "REGION_SPECIFIC"</t>
  </si>
  <si>
    <t xml:space="preserve"># Network IP Inclusion Ranges</t>
  </si>
  <si>
    <t xml:space="preserve">"networkSpecs" &gt; "includeIpAddressRanges"</t>
  </si>
  <si>
    <t xml:space="preserve"># Folder Names Mgmt Cluster - Automatically formulated in XLS using sso-site-name@value= + static values</t>
  </si>
  <si>
    <t xml:space="preserve">"clusterSpecs" &gt; "vmFolders" &gt; "MANAGEMENT"</t>
  </si>
  <si>
    <t xml:space="preserve">"clusterSpecs" &gt; "vmFolders" &gt; "NETWORKING"</t>
  </si>
  <si>
    <t xml:space="preserve">"clusterSpecs" &gt; "vmFolders" &gt; "EDGENODES"</t>
  </si>
  <si>
    <t xml:space="preserve"># *******************  N S X - T   *******************</t>
  </si>
  <si>
    <t xml:space="preserve"># NSX-T License Key</t>
  </si>
  <si>
    <t xml:space="preserve">"nsxtSpec" &gt; "nsxtLicense"</t>
  </si>
  <si>
    <t xml:space="preserve"># NSX-T Manager Virtual Appliance Size - Valid values are "small", "medium", "large"</t>
  </si>
  <si>
    <t xml:space="preserve">"nsxtSpec" &gt; "nsxtManagerSize"</t>
  </si>
  <si>
    <t xml:space="preserve"># NSX-T Credentials</t>
  </si>
  <si>
    <t xml:space="preserve">"nsxtSpec" &gt; "rootNsxtManagerPassword"</t>
  </si>
  <si>
    <t xml:space="preserve">"nsxtSpec" &gt; "nsxtAdminPassword"</t>
  </si>
  <si>
    <t xml:space="preserve">"nsxtSpec" &gt; "nsxtAuditPassword"</t>
  </si>
  <si>
    <t xml:space="preserve">nsxt-enable-rootLogin=true</t>
  </si>
  <si>
    <t xml:space="preserve">"nsxtSpec" &gt; "rootLoginEnabledForNsxtManager"</t>
  </si>
  <si>
    <t xml:space="preserve">nsxt-enable-ssh=true</t>
  </si>
  <si>
    <t xml:space="preserve">"nsxtSpec" &gt; "sshEnabledForNsxtManager"</t>
  </si>
  <si>
    <t xml:space="preserve"># NSX-T Hostnames and IP Addresses</t>
  </si>
  <si>
    <t xml:space="preserve">"nsxtSpec" &gt; "vipFqdn"</t>
  </si>
  <si>
    <t xml:space="preserve">"nsxtSpec" &gt; "vip"</t>
  </si>
  <si>
    <t xml:space="preserve">"nsxtSpec" &gt; "nsxtManagers"</t>
  </si>
  <si>
    <t xml:space="preserve"># NSX-T Transport Zone</t>
  </si>
  <si>
    <t xml:space="preserve">"nsxtSpec" &gt; "vlanTransportZones" &gt; "zoneName"</t>
  </si>
  <si>
    <t xml:space="preserve">nsxt-transport-vlan-networkName=netName-vlan</t>
  </si>
  <si>
    <t xml:space="preserve">"nsxtSpec" &gt; "vlanTransportZones" &gt; "networkName"</t>
  </si>
  <si>
    <t xml:space="preserve">"nsxtSpec" &gt; "transportVlanId"</t>
  </si>
  <si>
    <t xml:space="preserve">"nsxtSpec" &gt; "overLayTransportZones" &gt; "zoneName"</t>
  </si>
  <si>
    <t xml:space="preserve">nsxt-transport-overlay-networkName=netName-overlay</t>
  </si>
  <si>
    <t xml:space="preserve">"nsxtSpec" &gt; "overLayTransportZones" &gt; "networkName"</t>
  </si>
  <si>
    <t xml:space="preserve"># NSX-T ESXi Host TEP Static IP Pool</t>
  </si>
  <si>
    <t xml:space="preserve">"nsxtSpec" &gt; "ipAddressPoolSpec" &gt; "name"</t>
  </si>
  <si>
    <t xml:space="preserve">"nsxtSpec" &gt; "ipAddressPoolSpec" &gt; "description"</t>
  </si>
  <si>
    <t xml:space="preserve">"nsxtSpec" &gt; "ipAddressPoolSpec" &gt; "subnets" &gt; "ipAddressPoolRanges" &gt; "start"</t>
  </si>
  <si>
    <t xml:space="preserve">"nsxtSpec" &gt; "ipAddressPoolSpec" &gt; "subnets" &gt; "ipAddressPoolRanges" &gt; "end"</t>
  </si>
  <si>
    <t xml:space="preserve">"nsxtSpec" &gt; "ipAddressPoolSpec" &gt; "subnets" &gt; "cidr"</t>
  </si>
  <si>
    <t xml:space="preserve">"nsxtSpec" &gt; "ipAddressPoolSpec" &gt; "subnets" &gt; "gateway"</t>
  </si>
  <si>
    <t xml:space="preserve"># Virtual Network Segments</t>
  </si>
  <si>
    <t xml:space="preserve">"excludedComponents"</t>
  </si>
  <si>
    <t xml:space="preserve">"nsxtSpec" &gt; "nsxtEdgeSpecs" &gt; "edgeClusterName"</t>
  </si>
  <si>
    <t xml:space="preserve"># NSX-T Edge Credentials (same values as NSX-T Credentials</t>
  </si>
  <si>
    <t xml:space="preserve">"nsxtSpec" &gt; "nsxtEdgeSpecs" &gt; "edgeRootPassword"</t>
  </si>
  <si>
    <t xml:space="preserve">"nsxtSpec" &gt; "nsxtEdgeSpecs" &gt; "edgeAdminPassword"</t>
  </si>
  <si>
    <t xml:space="preserve">"nsxtSpec" &gt; "nsxtEdgeSpecs" &gt; "edgeAuditPassword"</t>
  </si>
  <si>
    <t xml:space="preserve"># NSX-T Edge Virtual Appliance Size - Valid values are "extra_small", "small", "medium", "large"</t>
  </si>
  <si>
    <t xml:space="preserve"> "nsxtSpec" &gt; "nsxtEdgeSpecs" &gt; "edgeFormFactor"</t>
  </si>
  <si>
    <t xml:space="preserve"># NSX-T Edge Gateway Specs</t>
  </si>
  <si>
    <t xml:space="preserve">"nsxtSpec" &gt; "nsxtEdgeSpecs" &gt; "edgeServicesSpecs" &gt; "tier0GatewayName"</t>
  </si>
  <si>
    <t xml:space="preserve">"nsxtSpec" &gt; "nsxtEdgeSpecs" &gt; "edgeServicesSpecs" &gt; "tier1GatewayName"</t>
  </si>
  <si>
    <t xml:space="preserve">"nsxtSpec" &gt; "nsxtEdgeSpecs" &gt; "edgeServicesSpecs" &gt; "tier0GatewaySegments" &gt;"segmentName"</t>
  </si>
  <si>
    <t xml:space="preserve">"nsxtSpec" &gt; "nsxtEdgeSpecs" &gt; "tier0ServicesHighAvailability"</t>
  </si>
  <si>
    <t xml:space="preserve"># NSX-T Edge Nodes</t>
  </si>
  <si>
    <t xml:space="preserve">"nsxtSpec" &gt; "nsxtEdgeSpecs" &gt; "asn"</t>
  </si>
  <si>
    <t xml:space="preserve">"nsxtSpec" &gt; "nsxtEdgeSpecs" &gt; "edgeNodeSpecs" &gt; "edgeNodeName"</t>
  </si>
  <si>
    <t xml:space="preserve">"nsxtSpec" &gt; "nsxtEdgeSpecs" &gt; "edgeNodeSpecs" &gt; "managementCidr"</t>
  </si>
  <si>
    <t xml:space="preserve">"nsxtSpec" &gt; "nsxtEdgeSpecs" &gt; "edgeNodeSpecs" &gt; "edgeVtep1Cidr"</t>
  </si>
  <si>
    <t xml:space="preserve">"nsxtSpec" &gt; "nsxtEdgeSpecs" &gt; "edgeNodeSpecs" &gt; "edgeVtep2Cidr"</t>
  </si>
  <si>
    <t xml:space="preserve">"nsxtSpec" &gt; "nsxtEdgeSpecs" &gt; "edgeNodeSpecs" &gt;  "interfaces" &gt; "interfaceCidr"</t>
  </si>
  <si>
    <t xml:space="preserve"># NSX-T BGP Neigbours</t>
  </si>
  <si>
    <t xml:space="preserve">"nsxtSpec" &gt; "nsxtEdgeSpecs" &gt; "bgpNeighbors" &gt; "neighbourIp"</t>
  </si>
  <si>
    <t xml:space="preserve">"nsxtSpec" &gt; "nsxtEdgeSpecs" &gt; "bgpNeighbors" &gt; "autonomousSystem"</t>
  </si>
  <si>
    <t xml:space="preserve">"nsxtSpec" &gt; "nsxtEdgeSpecs" &gt; "bgpNeighbors" &gt; "password"</t>
  </si>
  <si>
    <t xml:space="preserve"># NSX-T Logical Segments</t>
  </si>
  <si>
    <t xml:space="preserve">"nsxtSpec" &gt; "logicalSegments" &gt; "name" | "networkType": "REGION_SPECIFIC"</t>
  </si>
  <si>
    <t xml:space="preserve">"nsxtSpec" &gt; "logicalSegments" &gt; "name" | "networkType": "X_REGION"</t>
  </si>
  <si>
    <t xml:space="preserve"># NSX-T Edge Overlay Network</t>
  </si>
  <si>
    <t xml:space="preserve"># Out of Band Management</t>
  </si>
  <si>
    <t xml:space="preserve">mgmtOobNetwork.cidrNotation=</t>
  </si>
  <si>
    <t xml:space="preserve">mgmtOobNetwork.gateway=</t>
  </si>
  <si>
    <t xml:space="preserve">mgmtOobNetwork.mtu=</t>
  </si>
  <si>
    <t xml:space="preserve">mgmtOobNetwork.vlanId=</t>
  </si>
  <si>
    <t xml:space="preserve">mgmtOobNetwork.pgName=</t>
  </si>
  <si>
    <t xml:space="preserve"># *******************  E N D   O F   F I L E  *******************</t>
  </si>
  <si>
    <t xml:space="preserve">Date</t>
  </si>
  <si>
    <t xml:space="preserve">Removed the following tabs and equivelant key / value pairs
  - vRA Configuration
  - Post-Deployment Checklist
  - CertConfig
Prerequisite Checklist Tab removed:
 - Removed Signed Certificates items
 - Removed Cloud Management Layer items
 - Removed Business Continiuty Layer tems
Management Workloads Tab removed:
 - Removed Compute vCenter and NSX VMs
 - All NSX Edge related VMs
 - All vRealize Suite related VMs and equivelant key / value pairs for licenses
 - All Business Continuity related VM and equivelant key / value pairs for licenses
 - Virtual Infrastructure Workload Domain related VMs
Hosts and Networks Tab removed:
 - Shared Edge &amp; Compute Hosts and equivelant key / value pairs
 - Removed Networking Diagram
Deployment Paramaters Tab:
 - Removed all vRealize Suite Sections and equivelant key / value pairs
 - Removed SRM and vSphere Replication Section and equivelant key / value pairs
 - Removed Signed Certs Section and equivelant key / value pairs</t>
  </si>
  <si>
    <t xml:space="preserve">Updated the 'workflowName' in config to workflowconfig/workflowspec-ems.json for "workflowName.mgmt=
Prerequisite Checklist Tab
 - Removed DNS items for vRealize Suite &amp; SRM/vR
 - Removed Active Directory items
Users and Groups Tab
 - Removed all AD Groups and equivelant key / value pairs
 - Removes svc-nsx and svc-domain-join AD Service accounts and equivelant key / value pairs
Deployment Paramters Tab:
 - Removed all Compute Cluster data and equivelant key / value pairs
 - Removed all NSX Config post NSX Manager and Controller including equivelant key / vlaue pairs
 - Removed all Compute vCenter Objects and equivelant key / value pairs</t>
  </si>
  <si>
    <t xml:space="preserve">Added VLAN and MTU for VTEP Network
Added property for automationUserSsoPassword</t>
  </si>
  <si>
    <t xml:space="preserve">Renamed  'workflowName.mgmt' to 'workflowName.vcf-ems'
Added Inclusion Ranges for vSAN and vMotion:
  - exclusion-range-start-vmotion=
  - exclusion-range-end-vmotion=
  - exclusion-range-start-vsan=
  - exclusion-range-end-vsan=</t>
  </si>
  <si>
    <t xml:space="preserve">Added basic vRLI Config for 3 node cluster
Switch IP Ranges to Inclusion from Exclusion</t>
  </si>
  <si>
    <t xml:space="preserve">Added vRLI elements:
 - License Key
 - Admin and Root Users
 - Archive Location
 - Admin Email</t>
  </si>
  <si>
    <t xml:space="preserve">Removed:
   - SMTP Server Settings
   - Active Directory Details
   - Platform Services Controller Load Balancer
   - VVD Special Settings</t>
  </si>
  <si>
    <t xml:space="preserve">Added back:
   - ldapADIdentitySource.domainName=vsphere.local
   - ldapADIdentitySource.subDomainPrefix=vrack.vsphere.local</t>
  </si>
  <si>
    <t xml:space="preserve">Fixed forumla for root password of vRLI</t>
  </si>
  <si>
    <t xml:space="preserve">Added Additonal IP Ranges and IP Inclusions:
   - inclusion-range-start-vmotion01=
   - inclusion-range-end-vmotion01=
   - inclusion-range-start-vmotion02=
   - inclusion-range-end-vmotion02=
   - inclusion-ips-vmotion=
   - inclusion-range-start-vsan01=
   - inclusion-range-end-vsan01=
   - inclusion-range-start-vsan02=
   - inclusion-range-end-vsan02=
   - inclusion-ips-vsan=
Updated values for SSOAutomation user:
   - sddc-manager-automation-sso.username=
   - sddc-manager-automation-sso.password=</t>
  </si>
  <si>
    <t xml:space="preserve">Added NSX Segment IDs
    - mgmt-nsx-segment-id-range@rangeStart=
    - mgmt-nsx-segment-id-range@rangeEnd=</t>
  </si>
  <si>
    <t xml:space="preserve">Removed NSX Privelage User from Inputs
    - "nsx-admin-privilege-password@value="</t>
  </si>
  <si>
    <t xml:space="preserve">Removed the vTEP Pool Settings for entry but left the key/value pairs to ensure blank values in the JSON file</t>
  </si>
  <si>
    <t xml:space="preserve">Removed License Keys
Removed External Storage Values
Removed External Storage from Prereqs Tab</t>
  </si>
  <si>
    <t xml:space="preserve">Updated all names and IP Addresses to match VVD Region A values as per PR: https://bugzilla.eng.vmware.com/show_bug.cgi?id=2164082
Remove NSX FTP properties
Locked tabs so only inputs can be altered
Set portgroups so they can not be altered</t>
  </si>
  <si>
    <t xml:space="preserve">Addressed PR 2167479 - Adjusted formula for to make management portgroup update based on Deployment Paramters Cel J18
Addressed PR 2169188 - Set vmk to only having vmk0 available 
Addressed PR 2169396 - Removed vRLI Admin Email</t>
  </si>
  <si>
    <t xml:space="preserve">Addressed PR 2175805 - Updated Primary DNS Server to be mandatory - Turns read if Blank or n/a
Addressed PR 2175809 - Updated Primary and Secondary Domains to be mandatory - Turns red if blank or n/a
Added mandatory entry for VSAN Datastore - Turns red if blank or n/a</t>
  </si>
  <si>
    <t xml:space="preserve">Addressed PR 2177007 - Removed conditional format off cell where license keys are not mandatory (vSAN, vCenter, NSX and vRLI)</t>
  </si>
  <si>
    <t xml:space="preserve">Added SDDC Manager License Key:
    - sddc-manager-license@key=</t>
  </si>
  <si>
    <t xml:space="preserve">Addressed PR 2165982 Added Resource Pool Values</t>
  </si>
  <si>
    <t xml:space="preserve">Added 4th resource Pool as per PR 2075390
Added NSX Controller Root Password</t>
  </si>
  <si>
    <t xml:space="preserve">Renamed `vSphere/vcloud suite` to `ESXi` as per PR 2202723</t>
  </si>
  <si>
    <t xml:space="preserve">Addressed PR 2205327 Add comments to each password in Users and Groups tab defininig the requirements
Addressed PR 2205311 Added the ability to select the size of vCenter and vRLI nodes - Auto calculate the CPU/Memory/Disk sizes in Management Workloads
Addressed PR 2206267 Added ESXi thumbprint details to Hosts and Networks tab </t>
  </si>
  <si>
    <t xml:space="preserve">Adjusted the layout of the SSL/SSH Thumbprint inputs cells</t>
  </si>
  <si>
    <t xml:space="preserve">Addressed PR 2209673 Updated vmnic validation list to support a total of 10 vmnics (vmnic0 - vmnic9)
Addressed PR 2209906 Moved the ESXi Root credentials to the Users and Groups Tab
Addressed PR 2209857 Adjusted XLS Input for ESXi Password to between 8 and 40 characters and updated the validation inputs</t>
  </si>
  <si>
    <t xml:space="preserve">Addressed PR 2212623 Adjusted Child zone to not turn red when n/a is entered
Addressed PR 2212530 Removed the complexity requirement prompt and validation
Addressed PR 2212535 Adjusted the conditioning formula for DNS/NTP Duplicates
Addressed PR 2212557 Added a conditional format to vRLI Nodes for Management vLAN</t>
  </si>
  <si>
    <t xml:space="preserve">Remove IP input validation for NTP servers as both IP and FQDN are options for input</t>
  </si>
  <si>
    <t xml:space="preserve">Addressed PR 2214908 Updated versions of software in Management Workloads tab</t>
  </si>
  <si>
    <t xml:space="preserve">Addressed PR 2217703 Added Copyright information to first worksheet</t>
  </si>
  <si>
    <t xml:space="preserve">Addressed PR 2224169 Renamed NSX Controller user in XLS to Admin and not Root</t>
  </si>
  <si>
    <t xml:space="preserve">Addressed PR 2225560 Remove xsmall option for vRLI size from XLS
Addressed Part of PR 2223367 by adding Tool Tips to Cells</t>
  </si>
  <si>
    <t xml:space="preserve">Taken general feedback from Field Teams and PM and made the following adjustments to the XLS:
User and Groups
   - Set automation cell grey and locked it as this should be configurable
Hosts and Networks
   - Made grey cellls for vSAN and vMotion networks white so they don't look like inputs
   - Added duplicate conditional formatting for ESXi hostname and IP Address</t>
  </si>
  <si>
    <t xml:space="preserve">Address PR 2227198 Removed Child DNS Zone value</t>
  </si>
  <si>
    <t xml:space="preserve">Addressed PR 2228197 - Add configurable setting for vDS MTU Size</t>
  </si>
  <si>
    <t xml:space="preserve">Addressed PR 2213320 - Added NSX Manager CLI Privileged User Account</t>
  </si>
  <si>
    <t xml:space="preserve">Added additional cell formatting:
    - Added duplicate check for SDDC Manager and vRLI Ips
    - Added subnet check for SDDC Manager
    - Added duplicate hostname check in Deployment Prameters XLS</t>
  </si>
  <si>
    <t xml:space="preserve">Addressed PR 2232938 - Add validation to NSX Manager CLI Privileged Password and Re-arrange NSX Manager entries</t>
  </si>
  <si>
    <t xml:space="preserve">Addressed PR 2239044 - Fix for CLI Privileged Password</t>
  </si>
  <si>
    <t xml:space="preserve">Simplified the IP Inclusion Range input details, most use cases only require the single range and this is confusing customers</t>
  </si>
  <si>
    <t xml:space="preserve">Added Remote Spec details to allow a deployment to join an existing SSO Domain if it’s a second site</t>
  </si>
  <si>
    <t xml:space="preserve">Addressed PR 2251009 - Gateway key/value pair was missing</t>
  </si>
  <si>
    <t xml:space="preserve">Removed Checkbox for EVC Mode as this option is not exposed for VCF currently
Added New Tab - Stretched Cluster Host Routes based on request from PM</t>
  </si>
  <si>
    <t xml:space="preserve">Addressed PR 2251713 - Added EVC setting to deployment parameters tab</t>
  </si>
  <si>
    <t xml:space="preserve">Addrssed PR 2262205 - Added CEIP setting
Addressed PR 2259315 - Added Formula check for IP address entry and set cells to text
Addressed PR 2212542 - Added conditional format to check for three octets</t>
  </si>
  <si>
    <t xml:space="preserve">Addressed PR 2269561 - Cell was locked and not editable for SSO Domain Join</t>
  </si>
  <si>
    <t xml:space="preserve">Addressed PR 2270560 -  Add a field for subscription license in XLS</t>
  </si>
  <si>
    <t xml:space="preserve">Addressed PR 2091769 - Enable vSwitch value to be configurable</t>
  </si>
  <si>
    <t xml:space="preserve">Removed Remote Site Details for PSC pending Password Rotaton issue resolution
Addressed PR 2279664 - Updated NSX Version from 6.4.3 to 6.4.4</t>
  </si>
  <si>
    <t xml:space="preserve">Removed Subscription License for VCF 3.7 Release)</t>
  </si>
  <si>
    <t xml:space="preserve">Added input validation for segment IDs, valid input between 5000 and 16777215</t>
  </si>
  <si>
    <t xml:space="preserve">Addressed spelling error on Prerequisite Checklist Tab under Physical Hardware</t>
  </si>
  <si>
    <t xml:space="preserve">Addressed PR 2298259, removed Yes/No Toggle for vCenter Server CEIP which does not toggle CEIP but advanced settings</t>
  </si>
  <si>
    <t xml:space="preserve">Addressed PR 2302896, Added multicast range addresses</t>
  </si>
  <si>
    <t xml:space="preserve">Addressed PR 2317410 - Added VMware Cloud Foundation version number first worksheet and created new key/value pair
Addressed PR 2318346 - Check MTU input is greater than 1500</t>
  </si>
  <si>
    <t xml:space="preserve">Addressed PR 2323795 - Removed employee name from stretched cluster worksheet</t>
  </si>
  <si>
    <t xml:space="preserve">Addressed PR 2354042 - Updated vCenter/PSC, NSX and vRealize Log Insight versions</t>
  </si>
  <si>
    <t xml:space="preserve">Addeded toggle feature forenabling CEIP across vCenter, VSAN, NSX and vRealize Log Insight</t>
  </si>
  <si>
    <t xml:space="preserve">Addressed PR 2359629 - Fixed formula error for input validation of root password</t>
  </si>
  <si>
    <t xml:space="preserve">Addressed PR 2360622 - Unlock Status and Comments columns in Prerequisite Checklist tab
Addressed PR 2360199 - Allow both IP and FQDN as inputs for NTP Servers</t>
  </si>
  <si>
    <t xml:space="preserve">Updated the VCF Version details to 3.8.0</t>
  </si>
  <si>
    <t xml:space="preserve">Added Advanced NSX Networking Settings to support Application Virtual Networks
Added NSX Advanced versus Enterprise Deployment Toggle</t>
  </si>
  <si>
    <t xml:space="preserve">Updated the VCF Version details to 3.9.0</t>
  </si>
  <si>
    <t xml:space="preserve">Addressed PR 2399375 - Updated the input message for NSX Password Policies</t>
  </si>
  <si>
    <t xml:space="preserve">Updated XLS for Iowa1 Release</t>
  </si>
  <si>
    <t xml:space="preserve">Addressed PR 2193648 - Updated 'vRealize Log Insight Node Load Balancer' to 'vRealize Log Insight Load Balancer'</t>
  </si>
  <si>
    <t xml:space="preserve">Added toggle feature for Embedded PSC</t>
  </si>
  <si>
    <t xml:space="preserve">Adjusted the layout of EVC Mode selection to make it more obvious to the customer</t>
  </si>
  <si>
    <t xml:space="preserve">Created Jefferson1 Release </t>
  </si>
  <si>
    <t xml:space="preserve">Added feature toggle for Embedded PSC</t>
  </si>
  <si>
    <t xml:space="preserve">Updated default values for vRealize Log Insight IP Addresses so they are on the correct Application Virtual Network</t>
  </si>
  <si>
    <t xml:space="preserve">Updated default values for Resource Pools</t>
  </si>
  <si>
    <t xml:space="preserve">Added Application Virtual Network ESG VMs to Management Workloads</t>
  </si>
  <si>
    <t xml:space="preserve">Updated the VCF Version details to 4.0.0
    - Remove Platform Services Controller Hostname and IPs from Deployment Parameters Tab
    - Adjusted the layout to close up the gaps
    - Move the Single-Sign On input into vSphere Infrastructure Section
    - Unlocked Portgroup Name Cells so they can be customized</t>
  </si>
  <si>
    <t xml:space="preserve">Addressed PR 2482793 - Renamed 'Host Pool Name' to 'Network Pool Name'
Updated for the following changes:
    - Management Workloads Tab:
        - Removed vRealize Log Insight
        - Set VSAN Defaults to All-Flash and adjusted the layout a little
    - Users and Groups
        - Removed vRealize Log Insight accounts
        - Updated layout to remove hidden not required cells
    - Deploy Parameters Tab
        - Removed vRealize Log Insight Inputs
        - Renamed lables for Join SSO Domain from Platform Services Controller to vCenter Server
        - Removed Subnet Mask input from SDDC Manager (auto generated based on Management VLAN CIDR)
        - Relocated vSphere Datastore inputs under vSphere Infrastructure Section
        - Moved CEIP inputs</t>
  </si>
  <si>
    <t xml:space="preserve">    - Replace NSX-V inputs with NSX-T inputs
    - Add vSphere Lifecycle Manager Toggle and Image input
    - Config_File_Build Tab
        - Cleaned up not required inputs</t>
  </si>
  <si>
    <t xml:space="preserve">Foramtting to mark ESXi SSH/SSL section as black when No
Updated wording of instructions to remove Grey Cell comment in Deploy Parameters </t>
  </si>
  <si>
    <t xml:space="preserve">Fixed Locked Cells in Deploy Parameters Tab
Updated Input Error Message for NSX-T Passwords</t>
  </si>
  <si>
    <t xml:space="preserve">Fixed data validation warning on SDDC Manager Pool input</t>
  </si>
  <si>
    <t xml:space="preserve">Added Conditional Formatting to Check Character Limit for ESXi and vCenter Server Hostnames</t>
  </si>
  <si>
    <t xml:space="preserve">Added Application Virtual Network Configuration for NSX-T</t>
  </si>
  <si>
    <t xml:space="preserve">Added Application Virtual Network Toggle
Added Key/Value pair for Folder of Edge Devices
Renamed SSO Site Name to Cloud Foundation Management Domain Name to drive custom domain name (SSO Site Name depreicated in vSphere 7)</t>
  </si>
  <si>
    <t xml:space="preserve">Fixed Issue with Auto Calculated Name of tier Gateway Names which key off of Doman Name
Added Key/Value Pairs for NXS-T Host Overlay CIDR and Gateway</t>
  </si>
  <si>
    <t xml:space="preserve">Udated default size of NSX-T Edge Cluster to Medium</t>
  </si>
  <si>
    <t xml:space="preserve">Updated Resource Numbers in Management Workloads</t>
  </si>
  <si>
    <t xml:space="preserve">Added Missing key/pairs for Application Virtual Networks to populate networkSpecs</t>
  </si>
  <si>
    <t xml:space="preserve">Updated calculated names for transport zones under NSX-T</t>
  </si>
  <si>
    <t xml:space="preserve">Added support for intel-cascadelake in the lookup list
Updated hostnames to match VVD Naming Standards by default</t>
  </si>
  <si>
    <t xml:space="preserve">Updated Heading of Logical Switch to Logical Segment for Application Virtual Networks</t>
  </si>
  <si>
    <t xml:space="preserve">Remove Ability to Join Existing SSO Domain</t>
  </si>
  <si>
    <t xml:space="preserve">Remove Extra Small as a Deployment option for NSX-T Data Center Managers</t>
  </si>
  <si>
    <t xml:space="preserve">Fixed some spelling errors
Updated Version for Jefferson2</t>
  </si>
  <si>
    <t xml:space="preserve">Added conditional Format to black out portgroups not required when AVNs are skipped
Updated versions based on i1u1 Bill of Materials
Updated the instructions for each tab to be more explicit around grey, red and yellow cells</t>
  </si>
  <si>
    <t xml:space="preserve">Removed validation for 15 char limit of ESXi Hosts and vCenter Server</t>
  </si>
  <si>
    <t xml:space="preserve">Added multi-pNIC and multi-vds support
Set Host Overlay portgroup to n/a
Set Edge Overlay portgroup to n/a
Added vSphere Distributed Switch Profiles and moved from Deploy Paramters to Hosts and Networks Tab</t>
  </si>
  <si>
    <t xml:space="preserve">Updated Edge/Host Overlay and Uplinks to Check for Unique VLAN IDs, if duplicate they turn red
Added Back Join Existing SSO Domain for Second Instance of VCF</t>
  </si>
  <si>
    <t xml:space="preserve">Added 3rd Profile for Multi-vds Support</t>
  </si>
  <si>
    <t xml:space="preserve">Added ability to skip resource pool deployments</t>
  </si>
  <si>
    <t xml:space="preserve">Updated the NSX-T Edge Node sizes to small, medium, large and xlarge</t>
  </si>
  <si>
    <t xml:space="preserve">Added Support for setting storage size (large or xlarge) for vCenter Server Appliance</t>
  </si>
  <si>
    <t xml:space="preserve">Added tooltips (In order to re-use Edge Cluster for WCP, provide Edge Size as LARGE) for Edge Node Appliance Size</t>
  </si>
  <si>
    <t xml:space="preserve">Addressed an Issue with Multi-DVS and pNIC Configuration</t>
  </si>
  <si>
    <t xml:space="preserve">Addresed and issue where nsxt-transport-overlay-networkName= is blank due to portgroup changing to n/a</t>
  </si>
  <si>
    <t xml:space="preserve">Revert ability to skip resource pool deployments</t>
  </si>
  <si>
    <t xml:space="preserve">Updated the VCF Version details to 4.1.0
Added new Local User Password for Emergency Service Account</t>
  </si>
  <si>
    <t xml:space="preserve">Addressed 2610748 - Added back ability to skip creation of resource pools</t>
  </si>
  <si>
    <t xml:space="preserve">Addressed PR 2618290 Adjust minimum password length for admin@local
Addressed PR 2620854 Fixed input message refering to NSX-V and not NSX-T</t>
  </si>
  <si>
    <t xml:space="preserve">Addressed PR 2621665 Updated description of SDDC Manager Local Account and set max char to 127</t>
  </si>
  <si>
    <t xml:space="preserve">Addressed PR 2625415 Added conditional format to handle Excel not honouring input validation when copy/paste is used</t>
  </si>
  <si>
    <t xml:space="preserve">Updated the VCF Version details to 4.1.1
Added Support for Static IP Pool for NSX-T Data Center Host TEPs
Converted ESXi Host SSH/SSL Thumbprint Default to Yes
Removed the admin user (Rest API User)</t>
  </si>
  <si>
    <t xml:space="preserve">Added back the admin user (Rest API User) Due to a Change by Release Team</t>
  </si>
  <si>
    <t xml:space="preserve">Updated NSX-T Version in Management Workloads Worksheet to 3.1
Removed Old Key/Value Pairs for NSX-V Portgroup</t>
  </si>
  <si>
    <t xml:space="preserve">Added FIPS Compliance Option for SDDC Manager</t>
  </si>
  <si>
    <t xml:space="preserve">Removed Auto Calc of CPU for vCenter on Maagement Workloads Worksheet</t>
  </si>
  <si>
    <t xml:space="preserve">Updated Password Policy Rule for Local Admin Account of VCF with 'A character cannot be repeated more than 3 times consecutively'
Updated Password Policy Rule for NSX-T Manager with 'NO three same consecutive chars', 'NOT a dictionary word' and 'NOT more than four monotonic char sequence'</t>
  </si>
  <si>
    <t xml:space="preserve">Updated Version to 4.2.0
Removed no longer needed key/value pairs:
     - host-overlay-network.cidrNotation
     - host-overlay-network.gateway
     - host-overlay-network.vlanId
     - host-overlay-network.mtu
Fixed issue with setting regionSpecific values when AVN is set to No</t>
  </si>
  <si>
    <t xml:space="preserve">Removed Enable FIPS Toggle</t>
  </si>
  <si>
    <t xml:space="preserve">Replace First Instance Single Sign-On with FQDN instead of IP Address
Updated vCenter Root Account Password Requirements</t>
  </si>
  <si>
    <t xml:space="preserve">Added vCenter Server SSL Thumbprint Input when Joining and Existing Single Sign-On Instance</t>
  </si>
</sst>
</file>

<file path=xl/styles.xml><?xml version="1.0" encoding="utf-8"?>
<styleSheet xmlns="http://schemas.openxmlformats.org/spreadsheetml/2006/main">
  <numFmts count="9">
    <numFmt numFmtId="164" formatCode="General"/>
    <numFmt numFmtId="165" formatCode="_(* #,##0.00_);_(* \(#,##0.00\);_(* \-??_);_(@_)"/>
    <numFmt numFmtId="166" formatCode="0%"/>
    <numFmt numFmtId="167" formatCode="0.0"/>
    <numFmt numFmtId="168" formatCode="General"/>
    <numFmt numFmtId="169" formatCode="0"/>
    <numFmt numFmtId="170" formatCode="0.00"/>
    <numFmt numFmtId="171" formatCode="@"/>
    <numFmt numFmtId="172" formatCode="d\-mmm\-yy"/>
  </numFmts>
  <fonts count="59">
    <font>
      <sz val="11"/>
      <color rgb="FF000000"/>
      <name val="Calibri"/>
      <family val="2"/>
      <charset val="1"/>
    </font>
    <font>
      <sz val="10"/>
      <name val="Arial"/>
      <family val="0"/>
    </font>
    <font>
      <sz val="10"/>
      <name val="Arial"/>
      <family val="0"/>
    </font>
    <font>
      <sz val="10"/>
      <name val="Arial"/>
      <family val="0"/>
    </font>
    <font>
      <sz val="11"/>
      <color rgb="FFFFFFFF"/>
      <name val="Calibri"/>
      <family val="1"/>
      <charset val="1"/>
    </font>
    <font>
      <u val="single"/>
      <sz val="12"/>
      <color rgb="FF0000FF"/>
      <name val="Calibri"/>
      <family val="2"/>
      <charset val="1"/>
    </font>
    <font>
      <u val="single"/>
      <sz val="11"/>
      <color rgb="FF0000FF"/>
      <name val="Calibri"/>
      <family val="1"/>
      <charset val="1"/>
    </font>
    <font>
      <sz val="10"/>
      <name val="Arial"/>
      <family val="2"/>
      <charset val="1"/>
    </font>
    <font>
      <sz val="12"/>
      <color rgb="FF000000"/>
      <name val="Calibri"/>
      <family val="2"/>
      <charset val="1"/>
    </font>
    <font>
      <sz val="10.5"/>
      <color rgb="FF000000"/>
      <name val="Metropolis"/>
      <family val="0"/>
      <charset val="1"/>
    </font>
    <font>
      <sz val="10.5"/>
      <color rgb="FFFFFFFF"/>
      <name val="Metropolis"/>
      <family val="0"/>
      <charset val="1"/>
    </font>
    <font>
      <sz val="10"/>
      <color rgb="FF000000"/>
      <name val="Metropolis"/>
      <family val="0"/>
      <charset val="1"/>
    </font>
    <font>
      <sz val="10"/>
      <color rgb="FF000000"/>
      <name val="Calibri"/>
      <family val="2"/>
      <charset val="1"/>
    </font>
    <font>
      <b val="true"/>
      <sz val="12"/>
      <color rgb="FF000000"/>
      <name val="Calibri"/>
      <family val="2"/>
      <charset val="1"/>
    </font>
    <font>
      <b val="true"/>
      <sz val="18"/>
      <color rgb="FFFFFFFF"/>
      <name val="Metropolis"/>
      <family val="0"/>
      <charset val="1"/>
    </font>
    <font>
      <b val="true"/>
      <sz val="16"/>
      <color rgb="FFFFFFFF"/>
      <name val="Metropolis"/>
      <family val="0"/>
      <charset val="1"/>
    </font>
    <font>
      <b val="true"/>
      <sz val="10"/>
      <color rgb="FF000000"/>
      <name val="Metropolis"/>
      <family val="0"/>
      <charset val="1"/>
    </font>
    <font>
      <sz val="28"/>
      <color rgb="FFFFFFFF"/>
      <name val="Metropolis"/>
      <family val="0"/>
    </font>
    <font>
      <b val="true"/>
      <sz val="12"/>
      <color rgb="FF000000"/>
      <name val="Metropolis"/>
      <family val="0"/>
      <charset val="1"/>
    </font>
    <font>
      <b val="true"/>
      <sz val="11"/>
      <color rgb="FF000000"/>
      <name val="Metropolis"/>
      <family val="0"/>
      <charset val="1"/>
    </font>
    <font>
      <sz val="10"/>
      <color rgb="FF000000"/>
      <name val="Arial"/>
      <family val="2"/>
      <charset val="1"/>
    </font>
    <font>
      <sz val="12"/>
      <color rgb="FF454545"/>
      <name val="Helvetica Neue"/>
      <family val="2"/>
      <charset val="1"/>
    </font>
    <font>
      <sz val="10"/>
      <name val="Metropolis"/>
      <family val="0"/>
      <charset val="1"/>
    </font>
    <font>
      <b val="true"/>
      <sz val="10"/>
      <name val="Metropolis"/>
      <family val="0"/>
      <charset val="1"/>
    </font>
    <font>
      <sz val="10.5"/>
      <name val="Metropolis"/>
      <family val="0"/>
      <charset val="1"/>
    </font>
    <font>
      <sz val="10"/>
      <color rgb="FFFF0000"/>
      <name val="Metropolis"/>
      <family val="0"/>
      <charset val="1"/>
    </font>
    <font>
      <u val="single"/>
      <sz val="10"/>
      <color rgb="FF0000FF"/>
      <name val="Verdana"/>
      <family val="2"/>
      <charset val="1"/>
    </font>
    <font>
      <sz val="11"/>
      <color rgb="FF000000"/>
      <name val="Metropolis"/>
      <family val="0"/>
      <charset val="1"/>
    </font>
    <font>
      <b val="true"/>
      <sz val="14"/>
      <color rgb="FFFFFFFF"/>
      <name val="Metropolis"/>
      <family val="0"/>
      <charset val="1"/>
    </font>
    <font>
      <b val="true"/>
      <sz val="10"/>
      <color rgb="FFFFFFFF"/>
      <name val="Metropolis"/>
      <family val="0"/>
      <charset val="1"/>
    </font>
    <font>
      <sz val="10"/>
      <color rgb="FFFFFFFF"/>
      <name val="Metropolis"/>
      <family val="0"/>
      <charset val="1"/>
    </font>
    <font>
      <sz val="10"/>
      <color rgb="FF0000FF"/>
      <name val="Metropolis"/>
      <family val="0"/>
      <charset val="1"/>
    </font>
    <font>
      <sz val="10"/>
      <name val="Metropolis"/>
      <family val="3"/>
      <charset val="1"/>
    </font>
    <font>
      <b val="true"/>
      <sz val="12"/>
      <name val="Metropolis"/>
      <family val="3"/>
      <charset val="1"/>
    </font>
    <font>
      <b val="true"/>
      <sz val="12"/>
      <name val="Metropolis"/>
      <family val="0"/>
      <charset val="1"/>
    </font>
    <font>
      <sz val="10"/>
      <color rgb="FF4F81BD"/>
      <name val="Metropolis"/>
      <family val="0"/>
      <charset val="1"/>
    </font>
    <font>
      <b val="true"/>
      <sz val="10.5"/>
      <name val="Metropolis"/>
      <family val="0"/>
      <charset val="1"/>
    </font>
    <font>
      <i val="true"/>
      <sz val="10.5"/>
      <name val="Metropolis"/>
      <family val="0"/>
      <charset val="1"/>
    </font>
    <font>
      <b val="true"/>
      <sz val="10.5"/>
      <color rgb="FFFF0000"/>
      <name val="Metropolis"/>
      <family val="0"/>
      <charset val="1"/>
    </font>
    <font>
      <b val="true"/>
      <sz val="12"/>
      <color rgb="FFFFFFFF"/>
      <name val="Metropolis"/>
      <family val="0"/>
      <charset val="1"/>
    </font>
    <font>
      <b val="true"/>
      <sz val="10"/>
      <color rgb="FF9BBB59"/>
      <name val="Metropolis"/>
      <family val="0"/>
      <charset val="1"/>
    </font>
    <font>
      <sz val="10"/>
      <color rgb="FF9BBB59"/>
      <name val="Metropolis"/>
      <family val="0"/>
      <charset val="1"/>
    </font>
    <font>
      <b val="true"/>
      <sz val="10"/>
      <color rgb="FF4BACC6"/>
      <name val="Metropolis"/>
      <family val="0"/>
      <charset val="1"/>
    </font>
    <font>
      <b val="true"/>
      <sz val="10"/>
      <color rgb="FF8064A2"/>
      <name val="Metropolis"/>
      <family val="0"/>
      <charset val="1"/>
    </font>
    <font>
      <b val="true"/>
      <sz val="10"/>
      <color rgb="FF948A54"/>
      <name val="Metropolis"/>
      <family val="0"/>
      <charset val="1"/>
    </font>
    <font>
      <sz val="9"/>
      <color rgb="FF000000"/>
      <name val="Metropolis"/>
      <family val="0"/>
      <charset val="1"/>
    </font>
    <font>
      <sz val="10"/>
      <color rgb="FFFFFFFF"/>
      <name val="Metropolis"/>
      <family val="3"/>
      <charset val="1"/>
    </font>
    <font>
      <sz val="10"/>
      <color rgb="FF000000"/>
      <name val="Metropolis"/>
      <family val="3"/>
      <charset val="1"/>
    </font>
    <font>
      <sz val="8.5"/>
      <color rgb="FF000000"/>
      <name val="Metropolis"/>
      <family val="3"/>
      <charset val="1"/>
    </font>
    <font>
      <b val="true"/>
      <sz val="10"/>
      <color rgb="FFFF0000"/>
      <name val="Metropolis"/>
      <family val="0"/>
      <charset val="1"/>
    </font>
    <font>
      <i val="true"/>
      <sz val="10"/>
      <name val="Metropolis"/>
      <family val="0"/>
      <charset val="1"/>
    </font>
    <font>
      <b val="true"/>
      <u val="single"/>
      <sz val="10"/>
      <name val="Metropolis"/>
      <family val="0"/>
      <charset val="1"/>
    </font>
    <font>
      <sz val="11"/>
      <color rgb="FFFF0000"/>
      <name val="Calibri"/>
      <family val="2"/>
      <charset val="1"/>
    </font>
    <font>
      <b val="true"/>
      <u val="single"/>
      <sz val="10"/>
      <color rgb="FFFFFFFF"/>
      <name val="Metropolis"/>
      <family val="0"/>
      <charset val="1"/>
    </font>
    <font>
      <b val="true"/>
      <sz val="10"/>
      <color rgb="FF1F497D"/>
      <name val="Metropolis"/>
      <family val="0"/>
      <charset val="1"/>
    </font>
    <font>
      <b val="true"/>
      <sz val="10"/>
      <color rgb="FFF79646"/>
      <name val="Metropolis"/>
      <family val="0"/>
      <charset val="1"/>
    </font>
    <font>
      <b val="true"/>
      <sz val="11"/>
      <color rgb="FF000000"/>
      <name val="Calibri"/>
      <family val="2"/>
      <charset val="1"/>
    </font>
    <font>
      <sz val="11"/>
      <name val="Calibri"/>
      <family val="2"/>
      <charset val="1"/>
    </font>
    <font>
      <sz val="11"/>
      <color rgb="FF1D1C1D"/>
      <name val="Calibri"/>
      <family val="2"/>
      <charset val="1"/>
    </font>
  </fonts>
  <fills count="14">
    <fill>
      <patternFill patternType="none"/>
    </fill>
    <fill>
      <patternFill patternType="gray125"/>
    </fill>
    <fill>
      <patternFill patternType="solid">
        <fgColor rgb="FF95B3D7"/>
        <bgColor rgb="FFBFBFBF"/>
      </patternFill>
    </fill>
    <fill>
      <patternFill patternType="solid">
        <fgColor rgb="FF4F81BD"/>
        <bgColor rgb="FF558ED5"/>
      </patternFill>
    </fill>
    <fill>
      <patternFill patternType="solid">
        <fgColor rgb="FFDCE6F2"/>
        <bgColor rgb="FFD9D9D9"/>
      </patternFill>
    </fill>
    <fill>
      <patternFill patternType="solid">
        <fgColor rgb="FFFFFFFF"/>
        <bgColor rgb="FFFFFFE5"/>
      </patternFill>
    </fill>
    <fill>
      <patternFill patternType="solid">
        <fgColor rgb="FFD9D9D9"/>
        <bgColor rgb="FFDCE6F2"/>
      </patternFill>
    </fill>
    <fill>
      <patternFill patternType="solid">
        <fgColor rgb="FF000000"/>
        <bgColor rgb="FF1D1C1D"/>
      </patternFill>
    </fill>
    <fill>
      <patternFill patternType="solid">
        <fgColor rgb="FF17375E"/>
        <bgColor rgb="FF1F497D"/>
      </patternFill>
    </fill>
    <fill>
      <patternFill patternType="solid">
        <fgColor rgb="FFBFBFBF"/>
        <bgColor rgb="FFB9CDE5"/>
      </patternFill>
    </fill>
    <fill>
      <patternFill patternType="solid">
        <fgColor rgb="FFB9CDE5"/>
        <bgColor rgb="FFBFBFBF"/>
      </patternFill>
    </fill>
    <fill>
      <patternFill patternType="solid">
        <fgColor rgb="FFFFFFE5"/>
        <bgColor rgb="FFFFFFFF"/>
      </patternFill>
    </fill>
    <fill>
      <patternFill patternType="solid">
        <fgColor rgb="FF376092"/>
        <bgColor rgb="FF1F497D"/>
      </patternFill>
    </fill>
    <fill>
      <patternFill patternType="solid">
        <fgColor rgb="FF558ED5"/>
        <bgColor rgb="FF4F81BD"/>
      </patternFill>
    </fill>
  </fills>
  <borders count="45">
    <border diagonalUp="false" diagonalDown="false">
      <left/>
      <right/>
      <top/>
      <bottom/>
      <diagonal/>
    </border>
    <border diagonalUp="false" diagonalDown="false">
      <left style="medium"/>
      <right style="medium"/>
      <top style="medium"/>
      <bottom style="medium"/>
      <diagonal/>
    </border>
    <border diagonalUp="false" diagonalDown="false">
      <left style="medium"/>
      <right/>
      <top style="medium"/>
      <bottom style="thin"/>
      <diagonal/>
    </border>
    <border diagonalUp="false" diagonalDown="false">
      <left/>
      <right/>
      <top style="medium"/>
      <bottom style="thin"/>
      <diagonal/>
    </border>
    <border diagonalUp="false" diagonalDown="false">
      <left/>
      <right style="medium"/>
      <top style="medium"/>
      <bottom style="thin"/>
      <diagonal/>
    </border>
    <border diagonalUp="false" diagonalDown="false">
      <left style="medium"/>
      <right/>
      <top style="thin"/>
      <bottom style="thin"/>
      <diagonal/>
    </border>
    <border diagonalUp="false" diagonalDown="false">
      <left/>
      <right/>
      <top style="thin"/>
      <bottom style="thin"/>
      <diagonal/>
    </border>
    <border diagonalUp="false" diagonalDown="false">
      <left/>
      <right style="medium"/>
      <top style="thin"/>
      <bottom style="thin"/>
      <diagonal/>
    </border>
    <border diagonalUp="false" diagonalDown="false">
      <left style="medium"/>
      <right/>
      <top style="thin"/>
      <bottom/>
      <diagonal/>
    </border>
    <border diagonalUp="false" diagonalDown="false">
      <left/>
      <right/>
      <top style="thin"/>
      <bottom/>
      <diagonal/>
    </border>
    <border diagonalUp="false" diagonalDown="false">
      <left/>
      <right style="medium"/>
      <top style="thin"/>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right style="thin"/>
      <top style="thin"/>
      <bottom style="thin"/>
      <diagonal/>
    </border>
    <border diagonalUp="false" diagonalDown="false">
      <left style="medium"/>
      <right style="medium"/>
      <top style="medium"/>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style="thin"/>
      <top style="medium"/>
      <bottom/>
      <diagonal/>
    </border>
    <border diagonalUp="false" diagonalDown="false">
      <left style="medium"/>
      <right style="thin"/>
      <top/>
      <bottom/>
      <diagonal/>
    </border>
    <border diagonalUp="false" diagonalDown="false">
      <left style="medium"/>
      <right style="thin"/>
      <top/>
      <bottom style="medium"/>
      <diagonal/>
    </border>
    <border diagonalUp="false" diagonalDown="false">
      <left style="medium"/>
      <right/>
      <top style="medium"/>
      <bottom style="medium"/>
      <diagonal/>
    </border>
    <border diagonalUp="false" diagonalDown="false">
      <left style="thin"/>
      <right style="thin"/>
      <top style="thin"/>
      <bottom/>
      <diagonal/>
    </border>
    <border diagonalUp="false" diagonalDown="false">
      <left style="thin"/>
      <right/>
      <top/>
      <bottom/>
      <diagonal/>
    </border>
    <border diagonalUp="false" diagonalDown="false">
      <left style="thin"/>
      <right style="thin"/>
      <top/>
      <bottom/>
      <diagonal/>
    </border>
    <border diagonalUp="false" diagonalDown="false">
      <left style="thin">
        <color rgb="FF808080"/>
      </left>
      <right style="thin">
        <color rgb="FF808080"/>
      </right>
      <top style="thin">
        <color rgb="FF808080"/>
      </top>
      <bottom style="thin">
        <color rgb="FF808080"/>
      </bottom>
      <diagonal/>
    </border>
  </borders>
  <cellStyleXfs count="29">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26" fillId="0" borderId="0" applyFont="true" applyBorder="false" applyAlignment="true" applyProtection="false">
      <alignment horizontal="general" vertical="bottom" textRotation="0" wrapText="false" indent="0" shrinkToFit="false"/>
    </xf>
    <xf numFmtId="164" fontId="4"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7"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cellStyleXfs>
  <cellXfs count="307">
    <xf numFmtId="164" fontId="0" fillId="0" borderId="0" xfId="0" applyFont="false" applyBorder="false" applyAlignment="false" applyProtection="false">
      <alignment horizontal="general" vertical="bottom" textRotation="0" wrapText="false" indent="0" shrinkToFit="false"/>
      <protection locked="true" hidden="false"/>
    </xf>
    <xf numFmtId="164" fontId="9" fillId="4" borderId="0" xfId="0" applyFont="true" applyBorder="false" applyAlignment="false" applyProtection="false">
      <alignment horizontal="general" vertical="bottom" textRotation="0" wrapText="false" indent="0" shrinkToFit="false"/>
      <protection locked="true" hidden="false"/>
    </xf>
    <xf numFmtId="164" fontId="9" fillId="4" borderId="0" xfId="0" applyFont="true" applyBorder="false" applyAlignment="true" applyProtection="false">
      <alignment horizontal="center" vertical="center" textRotation="0" wrapText="false" indent="0" shrinkToFit="false"/>
      <protection locked="true" hidden="false"/>
    </xf>
    <xf numFmtId="164" fontId="9" fillId="5"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9" fillId="5" borderId="0" xfId="0" applyFont="true" applyBorder="true" applyAlignment="true" applyProtection="false">
      <alignment horizontal="center" vertical="center" textRotation="0" wrapText="false" indent="0" shrinkToFit="false"/>
      <protection locked="true" hidden="false"/>
    </xf>
    <xf numFmtId="164" fontId="11" fillId="6" borderId="1" xfId="0" applyFont="true" applyBorder="true" applyAlignment="true" applyProtection="false">
      <alignment horizontal="left" vertical="center" textRotation="0" wrapText="true" indent="0" shrinkToFit="false"/>
      <protection locked="true" hidden="false"/>
    </xf>
    <xf numFmtId="164" fontId="12" fillId="5" borderId="0" xfId="0" applyFont="true" applyBorder="true" applyAlignment="true" applyProtection="false">
      <alignment horizontal="left" vertical="center" textRotation="0" wrapText="true" indent="0" shrinkToFit="false"/>
      <protection locked="true" hidden="false"/>
    </xf>
    <xf numFmtId="164" fontId="13" fillId="6" borderId="1" xfId="0" applyFont="true" applyBorder="true" applyAlignment="true" applyProtection="false">
      <alignment horizontal="center" vertical="center" textRotation="0" wrapText="true" indent="0" shrinkToFit="false"/>
      <protection locked="true" hidden="false"/>
    </xf>
    <xf numFmtId="164" fontId="14" fillId="7" borderId="2" xfId="0" applyFont="true" applyBorder="true" applyAlignment="true" applyProtection="false">
      <alignment horizontal="left" vertical="center" textRotation="0" wrapText="false" indent="0" shrinkToFit="false"/>
      <protection locked="true" hidden="false"/>
    </xf>
    <xf numFmtId="164" fontId="14" fillId="7" borderId="3" xfId="0" applyFont="true" applyBorder="true" applyAlignment="true" applyProtection="false">
      <alignment horizontal="center" vertical="center" textRotation="0" wrapText="false" indent="0" shrinkToFit="false"/>
      <protection locked="true" hidden="false"/>
    </xf>
    <xf numFmtId="164" fontId="14" fillId="7" borderId="3" xfId="0" applyFont="true" applyBorder="true" applyAlignment="true" applyProtection="false">
      <alignment horizontal="left" vertical="center" textRotation="0" wrapText="true" indent="0" shrinkToFit="false"/>
      <protection locked="true" hidden="false"/>
    </xf>
    <xf numFmtId="164" fontId="14" fillId="7" borderId="4" xfId="0" applyFont="true" applyBorder="true" applyAlignment="true" applyProtection="false">
      <alignment horizontal="left" vertical="center" textRotation="0" wrapText="true" indent="0" shrinkToFit="false"/>
      <protection locked="true" hidden="false"/>
    </xf>
    <xf numFmtId="164" fontId="15" fillId="8" borderId="5" xfId="0" applyFont="true" applyBorder="true" applyAlignment="true" applyProtection="false">
      <alignment horizontal="left" vertical="center" textRotation="0" wrapText="true" indent="0" shrinkToFit="false"/>
      <protection locked="true" hidden="false"/>
    </xf>
    <xf numFmtId="164" fontId="9" fillId="8" borderId="6" xfId="0" applyFont="true" applyBorder="true" applyAlignment="true" applyProtection="false">
      <alignment horizontal="center" vertical="center" textRotation="0" wrapText="false" indent="0" shrinkToFit="false"/>
      <protection locked="true" hidden="false"/>
    </xf>
    <xf numFmtId="164" fontId="9" fillId="8" borderId="6" xfId="0" applyFont="true" applyBorder="true" applyAlignment="true" applyProtection="false">
      <alignment horizontal="center" vertical="center" textRotation="0" wrapText="true" indent="0" shrinkToFit="false"/>
      <protection locked="true" hidden="false"/>
    </xf>
    <xf numFmtId="164" fontId="9" fillId="8" borderId="7" xfId="0" applyFont="true" applyBorder="true" applyAlignment="true" applyProtection="false">
      <alignment horizontal="center" vertical="center" textRotation="0" wrapText="true" indent="0" shrinkToFit="false"/>
      <protection locked="true" hidden="false"/>
    </xf>
    <xf numFmtId="164" fontId="16" fillId="0" borderId="5" xfId="0" applyFont="true" applyBorder="true" applyAlignment="true" applyProtection="false">
      <alignment horizontal="left" vertical="center" textRotation="0" wrapText="true" indent="0" shrinkToFit="false"/>
      <protection locked="true" hidden="false"/>
    </xf>
    <xf numFmtId="164" fontId="11" fillId="0" borderId="6" xfId="0" applyFont="true" applyBorder="true" applyAlignment="true" applyProtection="true">
      <alignment horizontal="center" vertical="center" textRotation="0" wrapText="false" indent="0" shrinkToFit="false"/>
      <protection locked="false" hidden="false"/>
    </xf>
    <xf numFmtId="164" fontId="11" fillId="0" borderId="6" xfId="0" applyFont="true" applyBorder="true" applyAlignment="true" applyProtection="true">
      <alignment horizontal="left" vertical="center" textRotation="0" wrapText="true" indent="0" shrinkToFit="false"/>
      <protection locked="false" hidden="false"/>
    </xf>
    <xf numFmtId="164" fontId="11" fillId="0" borderId="7" xfId="0" applyFont="true" applyBorder="true" applyAlignment="true" applyProtection="false">
      <alignment horizontal="left" vertical="center" textRotation="0" wrapText="true" indent="0" shrinkToFit="false"/>
      <protection locked="true" hidden="false"/>
    </xf>
    <xf numFmtId="164" fontId="16" fillId="6" borderId="5" xfId="0" applyFont="true" applyBorder="true" applyAlignment="true" applyProtection="false">
      <alignment horizontal="left" vertical="center" textRotation="0" wrapText="true" indent="0" shrinkToFit="false"/>
      <protection locked="true" hidden="false"/>
    </xf>
    <xf numFmtId="164" fontId="11" fillId="6" borderId="6" xfId="0" applyFont="true" applyBorder="true" applyAlignment="true" applyProtection="true">
      <alignment horizontal="center" vertical="center" textRotation="0" wrapText="false" indent="0" shrinkToFit="false"/>
      <protection locked="false" hidden="false"/>
    </xf>
    <xf numFmtId="164" fontId="11" fillId="6" borderId="6" xfId="0" applyFont="true" applyBorder="true" applyAlignment="true" applyProtection="true">
      <alignment horizontal="left" vertical="center" textRotation="0" wrapText="true" indent="0" shrinkToFit="false"/>
      <protection locked="false" hidden="false"/>
    </xf>
    <xf numFmtId="164" fontId="11" fillId="6" borderId="7" xfId="0" applyFont="true" applyBorder="true" applyAlignment="true" applyProtection="false">
      <alignment horizontal="left" vertical="center" textRotation="0" wrapText="true" indent="0" shrinkToFit="false"/>
      <protection locked="true" hidden="false"/>
    </xf>
    <xf numFmtId="164" fontId="9" fillId="8" borderId="6" xfId="0" applyFont="true" applyBorder="true" applyAlignment="true" applyProtection="false">
      <alignment horizontal="left" vertical="center" textRotation="0" wrapText="true" indent="0" shrinkToFit="false"/>
      <protection locked="true" hidden="false"/>
    </xf>
    <xf numFmtId="164" fontId="9" fillId="8" borderId="7" xfId="0" applyFont="true" applyBorder="true" applyAlignment="true" applyProtection="false">
      <alignment horizontal="left" vertical="center" textRotation="0" wrapText="true" indent="0" shrinkToFit="false"/>
      <protection locked="true" hidden="false"/>
    </xf>
    <xf numFmtId="164" fontId="16" fillId="0" borderId="8" xfId="0" applyFont="true" applyBorder="true" applyAlignment="true" applyProtection="false">
      <alignment horizontal="left" vertical="center" textRotation="0" wrapText="true" indent="0" shrinkToFit="false"/>
      <protection locked="true" hidden="false"/>
    </xf>
    <xf numFmtId="164" fontId="11" fillId="0" borderId="9" xfId="0" applyFont="true" applyBorder="true" applyAlignment="true" applyProtection="true">
      <alignment horizontal="center" vertical="center" textRotation="0" wrapText="false" indent="0" shrinkToFit="false"/>
      <protection locked="false" hidden="false"/>
    </xf>
    <xf numFmtId="164" fontId="11" fillId="0" borderId="9" xfId="0" applyFont="true" applyBorder="true" applyAlignment="true" applyProtection="true">
      <alignment horizontal="left" vertical="center" textRotation="0" wrapText="true" indent="0" shrinkToFit="false"/>
      <protection locked="false" hidden="false"/>
    </xf>
    <xf numFmtId="164" fontId="11" fillId="0" borderId="10" xfId="0" applyFont="true" applyBorder="true" applyAlignment="true" applyProtection="false">
      <alignment horizontal="left" vertical="center" textRotation="0" wrapText="true" indent="0" shrinkToFit="false"/>
      <protection locked="true" hidden="false"/>
    </xf>
    <xf numFmtId="164" fontId="9" fillId="7" borderId="11" xfId="0" applyFont="true" applyBorder="true" applyAlignment="false" applyProtection="false">
      <alignment horizontal="general" vertical="bottom" textRotation="0" wrapText="false" indent="0" shrinkToFit="false"/>
      <protection locked="true" hidden="false"/>
    </xf>
    <xf numFmtId="164" fontId="9" fillId="7" borderId="12" xfId="0" applyFont="true" applyBorder="true" applyAlignment="true" applyProtection="false">
      <alignment horizontal="center" vertical="center" textRotation="0" wrapText="false" indent="0" shrinkToFit="false"/>
      <protection locked="true" hidden="false"/>
    </xf>
    <xf numFmtId="164" fontId="9" fillId="7" borderId="12" xfId="0" applyFont="true" applyBorder="true" applyAlignment="false" applyProtection="false">
      <alignment horizontal="general" vertical="bottom" textRotation="0" wrapText="false" indent="0" shrinkToFit="false"/>
      <protection locked="true" hidden="false"/>
    </xf>
    <xf numFmtId="164" fontId="9" fillId="7" borderId="13" xfId="0" applyFont="true" applyBorder="true" applyAlignment="false" applyProtection="false">
      <alignment horizontal="general" vertical="bottom" textRotation="0" wrapText="false" indent="0" shrinkToFit="false"/>
      <protection locked="true" hidden="false"/>
    </xf>
    <xf numFmtId="164" fontId="9" fillId="5" borderId="0" xfId="0" applyFont="true" applyBorder="false" applyAlignment="true" applyProtection="false">
      <alignment horizontal="center" vertical="center"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center" vertical="bottom" textRotation="0" wrapText="false" indent="0" shrinkToFit="false"/>
      <protection locked="true" hidden="false"/>
    </xf>
    <xf numFmtId="164" fontId="11" fillId="5" borderId="0" xfId="0" applyFont="true" applyBorder="false" applyAlignment="false" applyProtection="false">
      <alignment horizontal="general" vertical="bottom" textRotation="0" wrapText="false" indent="0" shrinkToFit="false"/>
      <protection locked="true" hidden="false"/>
    </xf>
    <xf numFmtId="164" fontId="11" fillId="5" borderId="0" xfId="0" applyFont="true" applyBorder="false" applyAlignment="true" applyProtection="false">
      <alignment horizontal="center" vertical="bottom" textRotation="0" wrapText="false" indent="0" shrinkToFit="false"/>
      <protection locked="true" hidden="false"/>
    </xf>
    <xf numFmtId="164" fontId="16" fillId="2" borderId="0" xfId="0" applyFont="true" applyBorder="false" applyAlignment="true" applyProtection="false">
      <alignment horizontal="center" vertical="center" textRotation="0" wrapText="true" indent="0" shrinkToFit="false"/>
      <protection locked="true" hidden="false"/>
    </xf>
    <xf numFmtId="164" fontId="11" fillId="5" borderId="0" xfId="0" applyFont="true" applyBorder="false" applyAlignment="true" applyProtection="false">
      <alignment horizontal="general" vertical="bottom" textRotation="0" wrapText="true" indent="0" shrinkToFit="false"/>
      <protection locked="true" hidden="false"/>
    </xf>
    <xf numFmtId="164" fontId="11" fillId="0" borderId="0" xfId="0" applyFont="true" applyBorder="false" applyAlignment="true" applyProtection="false">
      <alignment horizontal="general" vertical="bottom" textRotation="0" wrapText="true" indent="0" shrinkToFit="false"/>
      <protection locked="true" hidden="false"/>
    </xf>
    <xf numFmtId="164" fontId="18" fillId="9" borderId="0" xfId="0" applyFont="true" applyBorder="true" applyAlignment="true" applyProtection="false">
      <alignment horizontal="left" vertical="center" textRotation="0" wrapText="true" indent="0" shrinkToFit="false"/>
      <protection locked="true" hidden="false"/>
    </xf>
    <xf numFmtId="164" fontId="16" fillId="9" borderId="0" xfId="0" applyFont="true" applyBorder="false" applyAlignment="true" applyProtection="false">
      <alignment horizontal="center" vertical="center" textRotation="0" wrapText="true" indent="0" shrinkToFit="false"/>
      <protection locked="true" hidden="false"/>
    </xf>
    <xf numFmtId="164" fontId="11" fillId="5" borderId="0" xfId="0" applyFont="true" applyBorder="false" applyAlignment="true" applyProtection="false">
      <alignment horizontal="general" vertical="center" textRotation="0" wrapText="true" indent="0" shrinkToFit="false"/>
      <protection locked="true" hidden="false"/>
    </xf>
    <xf numFmtId="164" fontId="11" fillId="0" borderId="0" xfId="0" applyFont="true" applyBorder="false" applyAlignment="true" applyProtection="false">
      <alignment horizontal="general" vertical="center" textRotation="0" wrapText="true" indent="0" shrinkToFit="false"/>
      <protection locked="true" hidden="false"/>
    </xf>
    <xf numFmtId="164" fontId="19" fillId="10" borderId="0" xfId="0" applyFont="true" applyBorder="false" applyAlignment="true" applyProtection="false">
      <alignment horizontal="general" vertical="center" textRotation="0" wrapText="false" indent="0" shrinkToFit="false"/>
      <protection locked="true" hidden="false"/>
    </xf>
    <xf numFmtId="164" fontId="11" fillId="10" borderId="0" xfId="0" applyFont="true" applyBorder="false" applyAlignment="true" applyProtection="false">
      <alignment horizontal="general" vertical="center" textRotation="0" wrapText="false" indent="0" shrinkToFit="false"/>
      <protection locked="true" hidden="false"/>
    </xf>
    <xf numFmtId="164" fontId="16" fillId="10" borderId="0" xfId="0" applyFont="true" applyBorder="false" applyAlignment="true" applyProtection="false">
      <alignment horizontal="center" vertical="center" textRotation="0" wrapText="false" indent="0" shrinkToFit="false"/>
      <protection locked="true" hidden="false"/>
    </xf>
    <xf numFmtId="164" fontId="11" fillId="10" borderId="0" xfId="0" applyFont="true" applyBorder="false" applyAlignment="true" applyProtection="false">
      <alignment horizontal="center" vertical="center" textRotation="0" wrapText="false" indent="0" shrinkToFit="false"/>
      <protection locked="true" hidden="false"/>
    </xf>
    <xf numFmtId="164" fontId="11" fillId="5" borderId="0" xfId="0" applyFont="true" applyBorder="false" applyAlignment="tru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6" fillId="4" borderId="14" xfId="0" applyFont="true" applyBorder="true" applyAlignment="true" applyProtection="false">
      <alignment horizontal="general" vertical="center" textRotation="0" wrapText="false" indent="0" shrinkToFit="false"/>
      <protection locked="true" hidden="false"/>
    </xf>
    <xf numFmtId="164" fontId="11" fillId="4" borderId="14" xfId="0" applyFont="true" applyBorder="true" applyAlignment="true" applyProtection="false">
      <alignment horizontal="general" vertical="center" textRotation="0" wrapText="false" indent="0" shrinkToFit="false"/>
      <protection locked="true" hidden="false"/>
    </xf>
    <xf numFmtId="164" fontId="11" fillId="4" borderId="15" xfId="0" applyFont="true" applyBorder="true" applyAlignment="true" applyProtection="false">
      <alignment horizontal="general" vertical="center" textRotation="0" wrapText="false" indent="0" shrinkToFit="false"/>
      <protection locked="true" hidden="false"/>
    </xf>
    <xf numFmtId="164" fontId="11" fillId="4" borderId="16" xfId="0" applyFont="true" applyBorder="true" applyAlignment="true" applyProtection="false">
      <alignment horizontal="general" vertical="center" textRotation="0" wrapText="false" indent="0" shrinkToFit="false"/>
      <protection locked="true" hidden="false"/>
    </xf>
    <xf numFmtId="164" fontId="11" fillId="4" borderId="9" xfId="0" applyFont="true" applyBorder="true" applyAlignment="true" applyProtection="false">
      <alignment horizontal="general" vertical="center" textRotation="0" wrapText="false" indent="0" shrinkToFit="false"/>
      <protection locked="true" hidden="false"/>
    </xf>
    <xf numFmtId="164" fontId="16" fillId="4" borderId="9" xfId="0" applyFont="true" applyBorder="true" applyAlignment="true" applyProtection="false">
      <alignment horizontal="center" vertical="center" textRotation="0" wrapText="false" indent="0" shrinkToFit="false"/>
      <protection locked="true" hidden="false"/>
    </xf>
    <xf numFmtId="164" fontId="16" fillId="4" borderId="17" xfId="0" applyFont="true" applyBorder="true" applyAlignment="true" applyProtection="false">
      <alignment horizontal="center" vertical="center" textRotation="0" wrapText="false" indent="0" shrinkToFit="false"/>
      <protection locked="true" hidden="false"/>
    </xf>
    <xf numFmtId="164" fontId="11" fillId="4" borderId="18" xfId="0" applyFont="true" applyBorder="true" applyAlignment="true" applyProtection="false">
      <alignment horizontal="center" vertical="center" textRotation="0" wrapText="false" indent="0" shrinkToFit="false"/>
      <protection locked="true" hidden="false"/>
    </xf>
    <xf numFmtId="164" fontId="20" fillId="11" borderId="14" xfId="0" applyFont="true" applyBorder="true" applyAlignment="true" applyProtection="true">
      <alignment horizontal="center" vertical="center" textRotation="0" wrapText="false" indent="0" shrinkToFit="false"/>
      <protection locked="fals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22" fillId="4" borderId="14" xfId="0" applyFont="true" applyBorder="true" applyAlignment="true" applyProtection="false">
      <alignment horizontal="general" vertical="center" textRotation="0" wrapText="false" indent="0" shrinkToFit="false"/>
      <protection locked="true" hidden="false"/>
    </xf>
    <xf numFmtId="164" fontId="11" fillId="4" borderId="14" xfId="0" applyFont="true" applyBorder="true" applyAlignment="true" applyProtection="false">
      <alignment horizontal="center" vertical="center" textRotation="0" wrapText="false" indent="0" shrinkToFit="false"/>
      <protection locked="true" hidden="false"/>
    </xf>
    <xf numFmtId="164" fontId="11" fillId="4" borderId="15" xfId="0" applyFont="true" applyBorder="true" applyAlignment="true" applyProtection="false">
      <alignment horizontal="center" vertical="center" textRotation="0" wrapText="false" indent="0" shrinkToFit="false"/>
      <protection locked="true" hidden="false"/>
    </xf>
    <xf numFmtId="164" fontId="11" fillId="4" borderId="16" xfId="0" applyFont="true" applyBorder="true" applyAlignment="true" applyProtection="false">
      <alignment horizontal="center" vertical="center" textRotation="0" wrapText="false" indent="0" shrinkToFit="false"/>
      <protection locked="true" hidden="false"/>
    </xf>
    <xf numFmtId="166" fontId="11" fillId="4" borderId="9" xfId="0" applyFont="true" applyBorder="true" applyAlignment="true" applyProtection="false">
      <alignment horizontal="center" vertical="center" textRotation="0" wrapText="false" indent="0" shrinkToFit="false"/>
      <protection locked="true" hidden="false"/>
    </xf>
    <xf numFmtId="164" fontId="11" fillId="4" borderId="9" xfId="0" applyFont="true" applyBorder="true" applyAlignment="true" applyProtection="false">
      <alignment horizontal="center" vertical="center" textRotation="0" wrapText="false" indent="0" shrinkToFit="false"/>
      <protection locked="true" hidden="false"/>
    </xf>
    <xf numFmtId="164" fontId="11" fillId="4" borderId="17" xfId="0" applyFont="true" applyBorder="true" applyAlignment="true" applyProtection="false">
      <alignment horizontal="center" vertical="center" textRotation="0" wrapText="false" indent="0" shrinkToFit="false"/>
      <protection locked="true" hidden="false"/>
    </xf>
    <xf numFmtId="167" fontId="11" fillId="4" borderId="18" xfId="0" applyFont="true" applyBorder="true" applyAlignment="true" applyProtection="false">
      <alignment horizontal="center" vertical="center" textRotation="0" wrapText="false" indent="0" shrinkToFit="false"/>
      <protection locked="true" hidden="false"/>
    </xf>
    <xf numFmtId="167" fontId="11" fillId="4" borderId="14" xfId="0" applyFont="true" applyBorder="true" applyAlignment="true" applyProtection="false">
      <alignment horizontal="center" vertical="center" textRotation="0" wrapText="false" indent="0" shrinkToFit="false"/>
      <protection locked="true" hidden="false"/>
    </xf>
    <xf numFmtId="166" fontId="11" fillId="4" borderId="6" xfId="0" applyFont="true" applyBorder="true" applyAlignment="true" applyProtection="false">
      <alignment horizontal="center" vertical="center" textRotation="0" wrapText="false" indent="0" shrinkToFit="false"/>
      <protection locked="true" hidden="false"/>
    </xf>
    <xf numFmtId="164" fontId="11" fillId="4" borderId="6" xfId="0" applyFont="true" applyBorder="true" applyAlignment="true" applyProtection="false">
      <alignment horizontal="center" vertical="center" textRotation="0" wrapText="false" indent="0" shrinkToFit="false"/>
      <protection locked="true" hidden="false"/>
    </xf>
    <xf numFmtId="164" fontId="22" fillId="5" borderId="0" xfId="0" applyFont="true" applyBorder="true" applyAlignment="true" applyProtection="false">
      <alignment horizontal="general" vertical="center" textRotation="0" wrapText="false" indent="0" shrinkToFit="false"/>
      <protection locked="true" hidden="false"/>
    </xf>
    <xf numFmtId="164" fontId="11" fillId="5" borderId="0" xfId="0" applyFont="true" applyBorder="true" applyAlignment="true" applyProtection="false">
      <alignment horizontal="general" vertical="center" textRotation="0" wrapText="false" indent="0" shrinkToFit="false"/>
      <protection locked="true" hidden="false"/>
    </xf>
    <xf numFmtId="164" fontId="23" fillId="5" borderId="0" xfId="0" applyFont="true" applyBorder="true" applyAlignment="true" applyProtection="false">
      <alignment horizontal="right" vertical="center" textRotation="0" wrapText="false" indent="0" shrinkToFit="false"/>
      <protection locked="true" hidden="false"/>
    </xf>
    <xf numFmtId="168" fontId="16" fillId="5" borderId="0" xfId="0" applyFont="true" applyBorder="true" applyAlignment="true" applyProtection="false">
      <alignment horizontal="center" vertical="center" textRotation="0" wrapText="false" indent="0" shrinkToFit="false"/>
      <protection locked="true" hidden="false"/>
    </xf>
    <xf numFmtId="164" fontId="16" fillId="5" borderId="0" xfId="0" applyFont="true" applyBorder="false" applyAlignment="true" applyProtection="false">
      <alignment horizontal="general" vertical="center" textRotation="0" wrapText="false" indent="0" shrinkToFit="false"/>
      <protection locked="true" hidden="false"/>
    </xf>
    <xf numFmtId="166" fontId="11" fillId="5" borderId="0" xfId="0" applyFont="true" applyBorder="true" applyAlignment="true" applyProtection="false">
      <alignment horizontal="center" vertical="center" textRotation="0" wrapText="false" indent="0" shrinkToFit="false"/>
      <protection locked="true" hidden="false"/>
    </xf>
    <xf numFmtId="164" fontId="11" fillId="5" borderId="0" xfId="0" applyFont="true" applyBorder="true" applyAlignment="true" applyProtection="false">
      <alignment horizontal="center" vertical="center" textRotation="0" wrapText="false" indent="0" shrinkToFit="false"/>
      <protection locked="true" hidden="false"/>
    </xf>
    <xf numFmtId="167" fontId="11" fillId="5" borderId="0" xfId="0" applyFont="true" applyBorder="true" applyAlignment="true" applyProtection="false">
      <alignment horizontal="center" vertical="center" textRotation="0" wrapText="false" indent="0" shrinkToFit="false"/>
      <protection locked="true" hidden="false"/>
    </xf>
    <xf numFmtId="164" fontId="11" fillId="5" borderId="0" xfId="0" applyFont="true" applyBorder="false" applyAlignment="true" applyProtection="false">
      <alignment horizontal="center" vertical="center" textRotation="0" wrapText="false" indent="0" shrinkToFit="false"/>
      <protection locked="true" hidden="false"/>
    </xf>
    <xf numFmtId="164" fontId="16" fillId="9" borderId="0" xfId="0" applyFont="true" applyBorder="true" applyAlignment="true" applyProtection="false">
      <alignment horizontal="center" vertical="center" textRotation="0" wrapText="false" indent="0" shrinkToFit="false"/>
      <protection locked="true" hidden="false"/>
    </xf>
    <xf numFmtId="164" fontId="11" fillId="9" borderId="0" xfId="0" applyFont="true" applyBorder="false" applyAlignment="true" applyProtection="false">
      <alignment horizontal="general" vertical="center" textRotation="0" wrapText="false" indent="0" shrinkToFit="false"/>
      <protection locked="true" hidden="false"/>
    </xf>
    <xf numFmtId="164" fontId="16" fillId="5" borderId="12" xfId="0" applyFont="true" applyBorder="true" applyAlignment="true" applyProtection="false">
      <alignment horizontal="center" vertical="center" textRotation="0" wrapText="false" indent="0" shrinkToFit="false"/>
      <protection locked="true" hidden="false"/>
    </xf>
    <xf numFmtId="168" fontId="11" fillId="5" borderId="12" xfId="0" applyFont="true" applyBorder="true" applyAlignment="true" applyProtection="false">
      <alignment horizontal="center" vertical="center" textRotation="0" wrapText="false" indent="0" shrinkToFit="false"/>
      <protection locked="true" hidden="false"/>
    </xf>
    <xf numFmtId="164" fontId="16" fillId="9" borderId="19" xfId="0" applyFont="true" applyBorder="true" applyAlignment="true" applyProtection="false">
      <alignment horizontal="general" vertical="center" textRotation="0" wrapText="false" indent="0" shrinkToFit="false"/>
      <protection locked="true" hidden="false"/>
    </xf>
    <xf numFmtId="164" fontId="16" fillId="6" borderId="20" xfId="0" applyFont="true" applyBorder="true" applyAlignment="true" applyProtection="false">
      <alignment horizontal="general" vertical="center" textRotation="0" wrapText="false" indent="0" shrinkToFit="false"/>
      <protection locked="true" hidden="false"/>
    </xf>
    <xf numFmtId="164" fontId="11" fillId="6" borderId="21" xfId="0" applyFont="true" applyBorder="true" applyAlignment="true" applyProtection="false">
      <alignment horizontal="general" vertical="center" textRotation="0" wrapText="false" indent="0" shrinkToFit="false"/>
      <protection locked="true" hidden="false"/>
    </xf>
    <xf numFmtId="164" fontId="11" fillId="6" borderId="22"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general" vertical="center" textRotation="0" wrapText="false" indent="0" shrinkToFit="false"/>
      <protection locked="true" hidden="false"/>
    </xf>
    <xf numFmtId="164" fontId="11" fillId="5" borderId="23" xfId="0" applyFont="true" applyBorder="true" applyAlignment="true" applyProtection="false">
      <alignment horizontal="right" vertical="center" textRotation="0" wrapText="false" indent="0" shrinkToFit="false"/>
      <protection locked="true" hidden="false"/>
    </xf>
    <xf numFmtId="164" fontId="11" fillId="5" borderId="24" xfId="0" applyFont="true" applyBorder="true" applyAlignment="true" applyProtection="false">
      <alignment horizontal="general" vertical="center" textRotation="0" wrapText="false" indent="0" shrinkToFit="false"/>
      <protection locked="true" hidden="false"/>
    </xf>
    <xf numFmtId="164" fontId="11" fillId="5" borderId="23" xfId="0" applyFont="true" applyBorder="true" applyAlignment="true" applyProtection="false">
      <alignment horizontal="general" vertical="center" textRotation="0" wrapText="false" indent="0" shrinkToFit="false"/>
      <protection locked="true" hidden="false"/>
    </xf>
    <xf numFmtId="169" fontId="11" fillId="5" borderId="0" xfId="0" applyFont="true" applyBorder="true" applyAlignment="true" applyProtection="false">
      <alignment horizontal="center" vertical="center" textRotation="0" wrapText="false" indent="0" shrinkToFit="false"/>
      <protection locked="true" hidden="false"/>
    </xf>
    <xf numFmtId="164" fontId="11" fillId="5" borderId="24" xfId="0" applyFont="true" applyBorder="true" applyAlignment="true" applyProtection="false">
      <alignment horizontal="center" vertical="center" textRotation="0" wrapText="false" indent="0" shrinkToFit="false"/>
      <protection locked="true" hidden="false"/>
    </xf>
    <xf numFmtId="164" fontId="11" fillId="5" borderId="11" xfId="0" applyFont="true" applyBorder="true" applyAlignment="true" applyProtection="false">
      <alignment horizontal="right" vertical="center" textRotation="0" wrapText="false" indent="0" shrinkToFit="false"/>
      <protection locked="true" hidden="false"/>
    </xf>
    <xf numFmtId="164" fontId="11" fillId="5" borderId="13" xfId="0" applyFont="true" applyBorder="true" applyAlignment="true" applyProtection="false">
      <alignment horizontal="general" vertical="center" textRotation="0" wrapText="false" indent="0" shrinkToFit="false"/>
      <protection locked="true" hidden="false"/>
    </xf>
    <xf numFmtId="164" fontId="16" fillId="9" borderId="23" xfId="0" applyFont="true" applyBorder="true" applyAlignment="true" applyProtection="false">
      <alignment horizontal="general" vertical="center" textRotation="0" wrapText="false" indent="0" shrinkToFit="false"/>
      <protection locked="true" hidden="false"/>
    </xf>
    <xf numFmtId="164" fontId="16" fillId="9" borderId="24" xfId="0" applyFont="true" applyBorder="true" applyAlignment="true" applyProtection="false">
      <alignment horizontal="center" vertical="center" textRotation="0" wrapText="false" indent="0" shrinkToFit="false"/>
      <protection locked="true" hidden="false"/>
    </xf>
    <xf numFmtId="169" fontId="11" fillId="5" borderId="0" xfId="0" applyFont="true" applyBorder="true" applyAlignment="true" applyProtection="false">
      <alignment horizontal="right" vertical="center" textRotation="0" wrapText="false" indent="0" shrinkToFit="false"/>
      <protection locked="true" hidden="false"/>
    </xf>
    <xf numFmtId="164" fontId="16" fillId="5" borderId="23" xfId="0" applyFont="true" applyBorder="true" applyAlignment="true" applyProtection="false">
      <alignment horizontal="general" vertical="center" textRotation="0" wrapText="false" indent="0" shrinkToFit="false"/>
      <protection locked="true" hidden="false"/>
    </xf>
    <xf numFmtId="164" fontId="16" fillId="11" borderId="0" xfId="0" applyFont="true" applyBorder="true" applyAlignment="true" applyProtection="true">
      <alignment horizontal="center" vertical="center" textRotation="0" wrapText="false" indent="0" shrinkToFit="false"/>
      <protection locked="false" hidden="false"/>
    </xf>
    <xf numFmtId="164" fontId="16" fillId="11" borderId="24" xfId="0" applyFont="true" applyBorder="true" applyAlignment="true" applyProtection="true">
      <alignment horizontal="center" vertical="center" textRotation="0" wrapText="false" indent="0" shrinkToFit="false"/>
      <protection locked="false" hidden="false"/>
    </xf>
    <xf numFmtId="164" fontId="11" fillId="11" borderId="0" xfId="0" applyFont="true" applyBorder="true" applyAlignment="true" applyProtection="true">
      <alignment horizontal="general" vertical="center" textRotation="0" wrapText="false" indent="0" shrinkToFit="false"/>
      <protection locked="false" hidden="false"/>
    </xf>
    <xf numFmtId="169" fontId="11" fillId="11" borderId="0" xfId="0" applyFont="true" applyBorder="true" applyAlignment="true" applyProtection="true">
      <alignment horizontal="center" vertical="center" textRotation="0" wrapText="false" indent="0" shrinkToFit="false"/>
      <protection locked="false" hidden="false"/>
    </xf>
    <xf numFmtId="169" fontId="11" fillId="11" borderId="24" xfId="0" applyFont="true" applyBorder="true" applyAlignment="true" applyProtection="true">
      <alignment horizontal="center" vertical="center" textRotation="0" wrapText="false" indent="0" shrinkToFit="false"/>
      <protection locked="false" hidden="false"/>
    </xf>
    <xf numFmtId="169" fontId="11" fillId="5" borderId="0" xfId="0" applyFont="true" applyBorder="true" applyAlignment="true" applyProtection="false">
      <alignment horizontal="general" vertical="center" textRotation="0" wrapText="false" indent="0" shrinkToFit="false"/>
      <protection locked="true" hidden="false"/>
    </xf>
    <xf numFmtId="164" fontId="11" fillId="5" borderId="11" xfId="0" applyFont="true" applyBorder="true" applyAlignment="true" applyProtection="false">
      <alignment horizontal="general" vertical="center" textRotation="0" wrapText="false" indent="0" shrinkToFit="false"/>
      <protection locked="true" hidden="false"/>
    </xf>
    <xf numFmtId="169" fontId="11" fillId="5" borderId="12" xfId="0" applyFont="true" applyBorder="true" applyAlignment="true" applyProtection="false">
      <alignment horizontal="right" vertical="center" textRotation="0" wrapText="false" indent="0" shrinkToFit="false"/>
      <protection locked="true" hidden="false"/>
    </xf>
    <xf numFmtId="169" fontId="11" fillId="5" borderId="12" xfId="0" applyFont="true" applyBorder="true" applyAlignment="true" applyProtection="false">
      <alignment horizontal="general" vertical="center" textRotation="0" wrapText="false" indent="0" shrinkToFit="false"/>
      <protection locked="true" hidden="false"/>
    </xf>
    <xf numFmtId="164" fontId="16" fillId="5" borderId="0" xfId="0" applyFont="true" applyBorder="true" applyAlignment="true" applyProtection="false">
      <alignment horizontal="general" vertical="center" textRotation="0" wrapText="false" indent="0" shrinkToFit="false"/>
      <protection locked="true" hidden="false"/>
    </xf>
    <xf numFmtId="170" fontId="11" fillId="5" borderId="0" xfId="0" applyFont="true" applyBorder="true" applyAlignment="true" applyProtection="false">
      <alignment horizontal="right" vertical="center" textRotation="0" wrapText="false" indent="0" shrinkToFit="false"/>
      <protection locked="true" hidden="false"/>
    </xf>
    <xf numFmtId="170" fontId="11" fillId="5" borderId="12" xfId="0" applyFont="true" applyBorder="true" applyAlignment="true" applyProtection="false">
      <alignment horizontal="right" vertical="center" textRotation="0" wrapText="false" indent="0" shrinkToFit="false"/>
      <protection locked="true" hidden="false"/>
    </xf>
    <xf numFmtId="164" fontId="24" fillId="0" borderId="0" xfId="26" applyFont="true" applyBorder="true" applyAlignment="true" applyProtection="false">
      <alignment horizontal="left" vertical="bottom" textRotation="0" wrapText="false" indent="0" shrinkToFit="false"/>
      <protection locked="true" hidden="false"/>
    </xf>
    <xf numFmtId="164" fontId="24" fillId="0" borderId="0" xfId="26" applyFont="true" applyBorder="true" applyAlignment="true" applyProtection="false">
      <alignment horizontal="left" vertical="bottom" textRotation="0" wrapText="true" indent="0" shrinkToFit="false"/>
      <protection locked="true" hidden="false"/>
    </xf>
    <xf numFmtId="164" fontId="24" fillId="0" borderId="0" xfId="26" applyFont="true" applyBorder="true" applyAlignment="true" applyProtection="false">
      <alignment horizontal="center" vertical="bottom" textRotation="0" wrapText="false" indent="0" shrinkToFit="false"/>
      <protection locked="true" hidden="false"/>
    </xf>
    <xf numFmtId="164" fontId="24" fillId="0" borderId="0" xfId="26" applyFont="true" applyBorder="true" applyAlignment="true" applyProtection="false">
      <alignment horizontal="general" vertical="bottom" textRotation="0" wrapText="false" indent="0" shrinkToFit="false"/>
      <protection locked="true" hidden="false"/>
    </xf>
    <xf numFmtId="164" fontId="24" fillId="0" borderId="0" xfId="26" applyFont="true" applyBorder="true" applyAlignment="true" applyProtection="false">
      <alignment horizontal="left" vertical="center" textRotation="0" wrapText="false" indent="0" shrinkToFit="false"/>
      <protection locked="true" hidden="false"/>
    </xf>
    <xf numFmtId="164" fontId="23" fillId="6" borderId="1" xfId="20" applyFont="true" applyBorder="true" applyAlignment="true" applyProtection="true">
      <alignment horizontal="left" vertical="center" textRotation="0" wrapText="true" indent="0" shrinkToFit="false"/>
      <protection locked="true" hidden="false"/>
    </xf>
    <xf numFmtId="164" fontId="11" fillId="0" borderId="0" xfId="0" applyFont="true" applyBorder="true" applyAlignment="true" applyProtection="false">
      <alignment horizontal="general" vertical="center" textRotation="0" wrapText="true" indent="0" shrinkToFit="false"/>
      <protection locked="true" hidden="false"/>
    </xf>
    <xf numFmtId="164" fontId="27" fillId="0" borderId="0" xfId="0" applyFont="true" applyBorder="true" applyAlignment="true" applyProtection="false">
      <alignment horizontal="general" vertical="center" textRotation="0" wrapText="true" indent="0" shrinkToFit="false"/>
      <protection locked="true" hidden="false"/>
    </xf>
    <xf numFmtId="164" fontId="24" fillId="0" borderId="0" xfId="26" applyFont="true" applyBorder="true" applyAlignment="true" applyProtection="false">
      <alignment horizontal="general" vertical="center" textRotation="0" wrapText="false" indent="0" shrinkToFit="false"/>
      <protection locked="true" hidden="false"/>
    </xf>
    <xf numFmtId="164" fontId="22" fillId="0" borderId="0" xfId="26" applyFont="true" applyBorder="true" applyAlignment="true" applyProtection="false">
      <alignment horizontal="left" vertical="center" textRotation="0" wrapText="false" indent="0" shrinkToFit="false"/>
      <protection locked="true" hidden="false"/>
    </xf>
    <xf numFmtId="164" fontId="28" fillId="12" borderId="25" xfId="26" applyFont="true" applyBorder="true" applyAlignment="true" applyProtection="false">
      <alignment horizontal="left" vertical="center" textRotation="0" wrapText="false" indent="0" shrinkToFit="false"/>
      <protection locked="true" hidden="false"/>
    </xf>
    <xf numFmtId="164" fontId="29" fillId="12" borderId="26" xfId="26" applyFont="true" applyBorder="true" applyAlignment="true" applyProtection="false">
      <alignment horizontal="left" vertical="center" textRotation="0" wrapText="false" indent="0" shrinkToFit="false"/>
      <protection locked="true" hidden="false"/>
    </xf>
    <xf numFmtId="164" fontId="30" fillId="12" borderId="26" xfId="26" applyFont="true" applyBorder="true" applyAlignment="true" applyProtection="false">
      <alignment horizontal="left" vertical="center" textRotation="0" wrapText="true" indent="0" shrinkToFit="false"/>
      <protection locked="true" hidden="false"/>
    </xf>
    <xf numFmtId="164" fontId="30" fillId="12" borderId="27" xfId="26" applyFont="true" applyBorder="true" applyAlignment="true" applyProtection="false">
      <alignment horizontal="center" vertical="center" textRotation="0" wrapText="false" indent="0" shrinkToFit="false"/>
      <protection locked="true" hidden="false"/>
    </xf>
    <xf numFmtId="164" fontId="23" fillId="2" borderId="28" xfId="26" applyFont="true" applyBorder="true" applyAlignment="true" applyProtection="false">
      <alignment horizontal="center" vertical="center" textRotation="0" wrapText="true" indent="0" shrinkToFit="false"/>
      <protection locked="true" hidden="false"/>
    </xf>
    <xf numFmtId="164" fontId="23" fillId="2" borderId="14" xfId="26" applyFont="true" applyBorder="true" applyAlignment="true" applyProtection="false">
      <alignment horizontal="center" vertical="center" textRotation="0" wrapText="true" indent="0" shrinkToFit="false"/>
      <protection locked="true" hidden="false"/>
    </xf>
    <xf numFmtId="164" fontId="23" fillId="2" borderId="29" xfId="26" applyFont="true" applyBorder="true" applyAlignment="true" applyProtection="false">
      <alignment horizontal="center" vertical="center" textRotation="0" wrapText="true" indent="0" shrinkToFit="false"/>
      <protection locked="true" hidden="false"/>
    </xf>
    <xf numFmtId="164" fontId="22" fillId="6" borderId="28" xfId="26" applyFont="true" applyBorder="true" applyAlignment="true" applyProtection="false">
      <alignment horizontal="left" vertical="center" textRotation="0" wrapText="false" indent="0" shrinkToFit="false"/>
      <protection locked="true" hidden="false"/>
    </xf>
    <xf numFmtId="164" fontId="31" fillId="11" borderId="14" xfId="26" applyFont="true" applyBorder="true" applyAlignment="true" applyProtection="true">
      <alignment horizontal="left" vertical="center" textRotation="0" wrapText="false" indent="0" shrinkToFit="false"/>
      <protection locked="false" hidden="false"/>
    </xf>
    <xf numFmtId="164" fontId="22" fillId="0" borderId="14" xfId="26" applyFont="true" applyBorder="true" applyAlignment="true" applyProtection="false">
      <alignment horizontal="left" vertical="center" textRotation="0" wrapText="true" indent="0" shrinkToFit="false"/>
      <protection locked="true" hidden="false"/>
    </xf>
    <xf numFmtId="164" fontId="22" fillId="0" borderId="29" xfId="26" applyFont="true" applyBorder="true" applyAlignment="true" applyProtection="false">
      <alignment horizontal="center" vertical="center" textRotation="0" wrapText="false" indent="0" shrinkToFit="false"/>
      <protection locked="true" hidden="false"/>
    </xf>
    <xf numFmtId="164" fontId="32" fillId="0" borderId="0" xfId="26" applyFont="true" applyBorder="false" applyAlignment="true" applyProtection="false">
      <alignment horizontal="left" vertical="center" textRotation="0" wrapText="false" indent="0" shrinkToFit="false"/>
      <protection locked="true" hidden="false"/>
    </xf>
    <xf numFmtId="164" fontId="33" fillId="10" borderId="30" xfId="26" applyFont="true" applyBorder="true" applyAlignment="true" applyProtection="false">
      <alignment horizontal="left" vertical="center" textRotation="0" wrapText="true" indent="0" shrinkToFit="false"/>
      <protection locked="true" hidden="false"/>
    </xf>
    <xf numFmtId="164" fontId="32" fillId="0" borderId="0" xfId="26" applyFont="true" applyBorder="false" applyAlignment="true" applyProtection="false">
      <alignment horizontal="left" vertical="center" textRotation="0" wrapText="true" indent="0" shrinkToFit="false"/>
      <protection locked="true" hidden="false"/>
    </xf>
    <xf numFmtId="164" fontId="22" fillId="0" borderId="0" xfId="26" applyFont="true" applyBorder="true" applyAlignment="true" applyProtection="false">
      <alignment horizontal="left" vertical="top" textRotation="0" wrapText="false" indent="0" shrinkToFit="false"/>
      <protection locked="true" hidden="false"/>
    </xf>
    <xf numFmtId="164" fontId="34" fillId="10" borderId="30" xfId="26" applyFont="true" applyBorder="true" applyAlignment="true" applyProtection="false">
      <alignment horizontal="left" vertical="center" textRotation="0" wrapText="true" indent="0" shrinkToFit="false"/>
      <protection locked="true" hidden="false"/>
    </xf>
    <xf numFmtId="164" fontId="22" fillId="0" borderId="0" xfId="26" applyFont="true" applyBorder="true" applyAlignment="true" applyProtection="false">
      <alignment horizontal="left" vertical="top" textRotation="0" wrapText="true" indent="0" shrinkToFit="false"/>
      <protection locked="true" hidden="false"/>
    </xf>
    <xf numFmtId="164" fontId="22" fillId="6" borderId="31" xfId="26" applyFont="true" applyBorder="true" applyAlignment="true" applyProtection="false">
      <alignment horizontal="left" vertical="center" textRotation="0" wrapText="false" indent="0" shrinkToFit="false"/>
      <protection locked="true" hidden="false"/>
    </xf>
    <xf numFmtId="164" fontId="31" fillId="11" borderId="32" xfId="26" applyFont="true" applyBorder="true" applyAlignment="true" applyProtection="true">
      <alignment horizontal="left" vertical="center" textRotation="0" wrapText="false" indent="0" shrinkToFit="false"/>
      <protection locked="false" hidden="false"/>
    </xf>
    <xf numFmtId="164" fontId="22" fillId="0" borderId="32" xfId="26" applyFont="true" applyBorder="true" applyAlignment="true" applyProtection="false">
      <alignment horizontal="left" vertical="center" textRotation="0" wrapText="true" indent="0" shrinkToFit="false"/>
      <protection locked="true" hidden="false"/>
    </xf>
    <xf numFmtId="164" fontId="22" fillId="0" borderId="33" xfId="26" applyFont="true" applyBorder="true" applyAlignment="true" applyProtection="false">
      <alignment horizontal="center" vertical="center" textRotation="0" wrapText="false" indent="0" shrinkToFit="false"/>
      <protection locked="true" hidden="false"/>
    </xf>
    <xf numFmtId="164" fontId="22" fillId="0" borderId="0" xfId="26" applyFont="true" applyBorder="true" applyAlignment="true" applyProtection="false">
      <alignment horizontal="center" vertical="top" textRotation="0" wrapText="false" indent="0" shrinkToFit="false"/>
      <protection locked="true" hidden="false"/>
    </xf>
    <xf numFmtId="164" fontId="24" fillId="0" borderId="0" xfId="26" applyFont="true" applyBorder="true" applyAlignment="true" applyProtection="false">
      <alignment horizontal="left" vertical="top" textRotation="0" wrapText="false" indent="0" shrinkToFit="false"/>
      <protection locked="true" hidden="false"/>
    </xf>
    <xf numFmtId="164" fontId="24" fillId="0" borderId="0" xfId="26" applyFont="true" applyBorder="true" applyAlignment="true" applyProtection="false">
      <alignment horizontal="left" vertical="top" textRotation="0" wrapText="true" indent="0" shrinkToFit="false"/>
      <protection locked="true" hidden="false"/>
    </xf>
    <xf numFmtId="164" fontId="24" fillId="0" borderId="0" xfId="26" applyFont="true" applyBorder="true" applyAlignment="true" applyProtection="false">
      <alignment horizontal="center" vertical="top" textRotation="0" wrapText="false" indent="0" shrinkToFit="false"/>
      <protection locked="true" hidden="false"/>
    </xf>
    <xf numFmtId="164" fontId="11" fillId="5" borderId="0" xfId="27" applyFont="true" applyBorder="false" applyAlignment="false" applyProtection="false">
      <alignment horizontal="general" vertical="bottom" textRotation="0" wrapText="false" indent="0" shrinkToFit="false"/>
      <protection locked="true" hidden="false"/>
    </xf>
    <xf numFmtId="164" fontId="11" fillId="0" borderId="0" xfId="27" applyFont="true" applyBorder="false" applyAlignment="false" applyProtection="false">
      <alignment horizontal="general" vertical="bottom" textRotation="0" wrapText="false" indent="0" shrinkToFit="false"/>
      <protection locked="true" hidden="false"/>
    </xf>
    <xf numFmtId="164" fontId="11" fillId="5" borderId="0" xfId="27" applyFont="true" applyBorder="false" applyAlignment="true" applyProtection="false">
      <alignment horizontal="general" vertical="center" textRotation="0" wrapText="false" indent="0" shrinkToFit="false"/>
      <protection locked="true" hidden="false"/>
    </xf>
    <xf numFmtId="164" fontId="22" fillId="5" borderId="0" xfId="26" applyFont="true" applyBorder="true" applyAlignment="true" applyProtection="false">
      <alignment horizontal="left" vertical="bottom" textRotation="0" wrapText="false" indent="0" shrinkToFit="false"/>
      <protection locked="true" hidden="false"/>
    </xf>
    <xf numFmtId="164" fontId="22" fillId="5" borderId="0" xfId="26" applyFont="true" applyBorder="true" applyAlignment="true" applyProtection="false">
      <alignment horizontal="general" vertical="bottom" textRotation="0" wrapText="false" indent="0" shrinkToFit="false"/>
      <protection locked="true" hidden="false"/>
    </xf>
    <xf numFmtId="164" fontId="35" fillId="5" borderId="0" xfId="26" applyFont="true" applyBorder="false" applyAlignment="false" applyProtection="false">
      <alignment horizontal="general" vertical="bottom" textRotation="0" wrapText="false" indent="0" shrinkToFit="false"/>
      <protection locked="true" hidden="false"/>
    </xf>
    <xf numFmtId="164" fontId="36" fillId="6" borderId="1" xfId="20" applyFont="true" applyBorder="true" applyAlignment="true" applyProtection="true">
      <alignment horizontal="general" vertical="center" textRotation="0" wrapText="true" indent="0" shrinkToFit="false"/>
      <protection locked="true" hidden="false"/>
    </xf>
    <xf numFmtId="164" fontId="22" fillId="5" borderId="0" xfId="26" applyFont="true" applyBorder="true" applyAlignment="true" applyProtection="false">
      <alignment horizontal="left" vertical="center" textRotation="0" wrapText="false" indent="0" shrinkToFit="false"/>
      <protection locked="true" hidden="false"/>
    </xf>
    <xf numFmtId="164" fontId="22" fillId="5" borderId="0" xfId="26" applyFont="true" applyBorder="true" applyAlignment="true" applyProtection="false">
      <alignment horizontal="general" vertical="center" textRotation="0" wrapText="false" indent="0" shrinkToFit="false"/>
      <protection locked="true" hidden="false"/>
    </xf>
    <xf numFmtId="164" fontId="39" fillId="12" borderId="19" xfId="27" applyFont="true" applyBorder="true" applyAlignment="true" applyProtection="false">
      <alignment horizontal="center" vertical="center" textRotation="0" wrapText="false" indent="0" shrinkToFit="false"/>
      <protection locked="true" hidden="false"/>
    </xf>
    <xf numFmtId="164" fontId="30" fillId="5" borderId="0" xfId="27" applyFont="true" applyBorder="true" applyAlignment="true" applyProtection="false">
      <alignment horizontal="general" vertical="center" textRotation="0" wrapText="false" indent="0" shrinkToFit="false"/>
      <protection locked="true" hidden="false"/>
    </xf>
    <xf numFmtId="164" fontId="39" fillId="12" borderId="1" xfId="27" applyFont="true" applyBorder="true" applyAlignment="true" applyProtection="false">
      <alignment horizontal="center" vertical="center" textRotation="0" wrapText="false" indent="0" shrinkToFit="false"/>
      <protection locked="true" hidden="false"/>
    </xf>
    <xf numFmtId="164" fontId="11" fillId="0" borderId="0" xfId="27" applyFont="true" applyBorder="false" applyAlignment="true" applyProtection="false">
      <alignment horizontal="general" vertical="center" textRotation="0" wrapText="false" indent="0" shrinkToFit="false"/>
      <protection locked="true" hidden="false"/>
    </xf>
    <xf numFmtId="164" fontId="16" fillId="2" borderId="25" xfId="27" applyFont="true" applyBorder="true" applyAlignment="true" applyProtection="false">
      <alignment horizontal="center" vertical="center" textRotation="0" wrapText="false" indent="0" shrinkToFit="false"/>
      <protection locked="true" hidden="false"/>
    </xf>
    <xf numFmtId="164" fontId="16" fillId="2" borderId="26" xfId="27" applyFont="true" applyBorder="true" applyAlignment="true" applyProtection="false">
      <alignment horizontal="center" vertical="center" textRotation="0" wrapText="false" indent="0" shrinkToFit="false"/>
      <protection locked="true" hidden="false"/>
    </xf>
    <xf numFmtId="164" fontId="16" fillId="2" borderId="27" xfId="27" applyFont="true" applyBorder="true" applyAlignment="true" applyProtection="false">
      <alignment horizontal="center" vertical="center" textRotation="0" wrapText="false" indent="0" shrinkToFit="false"/>
      <protection locked="true" hidden="false"/>
    </xf>
    <xf numFmtId="164" fontId="16" fillId="5" borderId="0" xfId="27" applyFont="true" applyBorder="true" applyAlignment="true" applyProtection="false">
      <alignment horizontal="center" vertical="center" textRotation="0" wrapText="false" indent="0" shrinkToFit="false"/>
      <protection locked="true" hidden="false"/>
    </xf>
    <xf numFmtId="164" fontId="16" fillId="11" borderId="25" xfId="27" applyFont="true" applyBorder="true" applyAlignment="true" applyProtection="true">
      <alignment horizontal="center" vertical="center" textRotation="0" wrapText="false" indent="0" shrinkToFit="false"/>
      <protection locked="false" hidden="false"/>
    </xf>
    <xf numFmtId="164" fontId="16" fillId="11" borderId="26" xfId="27" applyFont="true" applyBorder="true" applyAlignment="true" applyProtection="true">
      <alignment horizontal="center" vertical="center" textRotation="0" wrapText="false" indent="0" shrinkToFit="false"/>
      <protection locked="false" hidden="false"/>
    </xf>
    <xf numFmtId="164" fontId="16" fillId="11" borderId="27" xfId="27" applyFont="true" applyBorder="true" applyAlignment="true" applyProtection="true">
      <alignment horizontal="center" vertical="center" textRotation="0" wrapText="false" indent="0" shrinkToFit="false"/>
      <protection locked="false" hidden="false"/>
    </xf>
    <xf numFmtId="170" fontId="29" fillId="12" borderId="28" xfId="27" applyFont="true" applyBorder="true" applyAlignment="true" applyProtection="false">
      <alignment horizontal="left" vertical="center" textRotation="0" wrapText="false" indent="0" shrinkToFit="false"/>
      <protection locked="true" hidden="false"/>
    </xf>
    <xf numFmtId="171" fontId="40" fillId="11" borderId="14" xfId="27" applyFont="true" applyBorder="true" applyAlignment="true" applyProtection="true">
      <alignment horizontal="center" vertical="center" textRotation="0" wrapText="false" indent="0" shrinkToFit="false"/>
      <protection locked="false" hidden="false"/>
    </xf>
    <xf numFmtId="164" fontId="41" fillId="11" borderId="14" xfId="27" applyFont="true" applyBorder="true" applyAlignment="true" applyProtection="true">
      <alignment horizontal="left" vertical="center" textRotation="0" wrapText="true" indent="0" shrinkToFit="false"/>
      <protection locked="false" hidden="false"/>
    </xf>
    <xf numFmtId="164" fontId="40" fillId="11" borderId="29" xfId="27" applyFont="true" applyBorder="true" applyAlignment="true" applyProtection="true">
      <alignment horizontal="center" vertical="center" textRotation="0" wrapText="false" indent="0" shrinkToFit="false"/>
      <protection locked="false" hidden="false"/>
    </xf>
    <xf numFmtId="164" fontId="11" fillId="5" borderId="0" xfId="27" applyFont="true" applyBorder="true" applyAlignment="true" applyProtection="false">
      <alignment horizontal="center" vertical="center" textRotation="0" wrapText="false" indent="0" shrinkToFit="false"/>
      <protection locked="true" hidden="false"/>
    </xf>
    <xf numFmtId="171" fontId="40" fillId="11" borderId="28" xfId="27" applyFont="true" applyBorder="true" applyAlignment="true" applyProtection="true">
      <alignment horizontal="center" vertical="center" textRotation="0" wrapText="false" indent="0" shrinkToFit="false"/>
      <protection locked="false" hidden="false"/>
    </xf>
    <xf numFmtId="171" fontId="40" fillId="11" borderId="29" xfId="27" applyFont="true" applyBorder="true" applyAlignment="true" applyProtection="true">
      <alignment horizontal="center" vertical="center" textRotation="0" wrapText="false" indent="0" shrinkToFit="false"/>
      <protection locked="false" hidden="false"/>
    </xf>
    <xf numFmtId="171" fontId="11" fillId="11" borderId="14" xfId="27" applyFont="true" applyBorder="true" applyAlignment="true" applyProtection="true">
      <alignment horizontal="center" vertical="center" textRotation="0" wrapText="false" indent="0" shrinkToFit="false"/>
      <protection locked="false" hidden="false"/>
    </xf>
    <xf numFmtId="164" fontId="11" fillId="11" borderId="14" xfId="27" applyFont="true" applyBorder="true" applyAlignment="true" applyProtection="true">
      <alignment horizontal="left" vertical="center" textRotation="0" wrapText="false" indent="0" shrinkToFit="false"/>
      <protection locked="false" hidden="false"/>
    </xf>
    <xf numFmtId="164" fontId="11" fillId="11" borderId="29" xfId="27" applyFont="true" applyBorder="true" applyAlignment="true" applyProtection="true">
      <alignment horizontal="center" vertical="center" textRotation="0" wrapText="false" indent="0" shrinkToFit="false"/>
      <protection locked="false" hidden="false"/>
    </xf>
    <xf numFmtId="170" fontId="29" fillId="12" borderId="14" xfId="27" applyFont="true" applyBorder="true" applyAlignment="true" applyProtection="false">
      <alignment horizontal="left" vertical="center" textRotation="0" wrapText="false" indent="0" shrinkToFit="false"/>
      <protection locked="true" hidden="false"/>
    </xf>
    <xf numFmtId="171" fontId="11" fillId="11" borderId="29" xfId="27" applyFont="true" applyBorder="true" applyAlignment="true" applyProtection="true">
      <alignment horizontal="center" vertical="center" textRotation="0" wrapText="false" indent="0" shrinkToFit="false"/>
      <protection locked="false" hidden="false"/>
    </xf>
    <xf numFmtId="170" fontId="29" fillId="12" borderId="31" xfId="27" applyFont="true" applyBorder="true" applyAlignment="true" applyProtection="false">
      <alignment horizontal="left" vertical="center" textRotation="0" wrapText="false" indent="0" shrinkToFit="false"/>
      <protection locked="true" hidden="false"/>
    </xf>
    <xf numFmtId="171" fontId="11" fillId="11" borderId="32" xfId="27" applyFont="true" applyBorder="true" applyAlignment="true" applyProtection="true">
      <alignment horizontal="center" vertical="center" textRotation="0" wrapText="false" indent="0" shrinkToFit="false"/>
      <protection locked="false" hidden="false"/>
    </xf>
    <xf numFmtId="170" fontId="29" fillId="12" borderId="32" xfId="27" applyFont="true" applyBorder="true" applyAlignment="true" applyProtection="false">
      <alignment horizontal="left" vertical="center" textRotation="0" wrapText="false" indent="0" shrinkToFit="false"/>
      <protection locked="true" hidden="false"/>
    </xf>
    <xf numFmtId="171" fontId="11" fillId="11" borderId="33" xfId="27" applyFont="true" applyBorder="true" applyAlignment="true" applyProtection="true">
      <alignment horizontal="center" vertical="center" textRotation="0" wrapText="false" indent="0" shrinkToFit="false"/>
      <protection locked="false" hidden="false"/>
    </xf>
    <xf numFmtId="164" fontId="42" fillId="11" borderId="14" xfId="28" applyFont="true" applyBorder="true" applyAlignment="true" applyProtection="true">
      <alignment horizontal="center" vertical="center" textRotation="0" wrapText="false" indent="0" shrinkToFit="false"/>
      <protection locked="false" hidden="false"/>
    </xf>
    <xf numFmtId="164" fontId="42" fillId="11" borderId="14" xfId="27" applyFont="true" applyBorder="true" applyAlignment="true" applyProtection="true">
      <alignment horizontal="left" vertical="center" textRotation="0" wrapText="false" indent="0" shrinkToFit="false"/>
      <protection locked="false" hidden="false"/>
    </xf>
    <xf numFmtId="164" fontId="42" fillId="11" borderId="29" xfId="27" applyFont="true" applyBorder="true" applyAlignment="true" applyProtection="true">
      <alignment horizontal="center" vertical="center" textRotation="0" wrapText="false" indent="0" shrinkToFit="false"/>
      <protection locked="false" hidden="false"/>
    </xf>
    <xf numFmtId="170" fontId="11" fillId="5" borderId="0" xfId="27" applyFont="true" applyBorder="false" applyAlignment="true" applyProtection="false">
      <alignment horizontal="general" vertical="center" textRotation="0" wrapText="false" indent="0" shrinkToFit="false"/>
      <protection locked="true" hidden="false"/>
    </xf>
    <xf numFmtId="164" fontId="43" fillId="11" borderId="14" xfId="28" applyFont="true" applyBorder="true" applyAlignment="true" applyProtection="true">
      <alignment horizontal="center" vertical="center" textRotation="0" wrapText="false" indent="0" shrinkToFit="false"/>
      <protection locked="false" hidden="false"/>
    </xf>
    <xf numFmtId="164" fontId="43" fillId="11" borderId="14" xfId="27" applyFont="true" applyBorder="true" applyAlignment="true" applyProtection="true">
      <alignment horizontal="left" vertical="center" textRotation="0" wrapText="false" indent="0" shrinkToFit="false"/>
      <protection locked="false" hidden="false"/>
    </xf>
    <xf numFmtId="164" fontId="43" fillId="11" borderId="29" xfId="27" applyFont="true" applyBorder="true" applyAlignment="true" applyProtection="true">
      <alignment horizontal="center" vertical="center" textRotation="0" wrapText="false" indent="0" shrinkToFit="false"/>
      <protection locked="false" hidden="false"/>
    </xf>
    <xf numFmtId="164" fontId="11" fillId="5" borderId="0" xfId="27" applyFont="true" applyBorder="true" applyAlignment="true" applyProtection="false">
      <alignment horizontal="general" vertical="center" textRotation="0" wrapText="false" indent="0" shrinkToFit="false"/>
      <protection locked="true" hidden="false"/>
    </xf>
    <xf numFmtId="164" fontId="29" fillId="12" borderId="34" xfId="27" applyFont="true" applyBorder="true" applyAlignment="true" applyProtection="true">
      <alignment horizontal="general" vertical="center" textRotation="0" wrapText="false" indent="0" shrinkToFit="false"/>
      <protection locked="true" hidden="false"/>
    </xf>
    <xf numFmtId="164" fontId="30" fillId="7" borderId="35" xfId="26" applyFont="true" applyBorder="true" applyAlignment="true" applyProtection="true">
      <alignment horizontal="general" vertical="center" textRotation="0" wrapText="false" indent="0" shrinkToFit="false"/>
      <protection locked="true" hidden="false"/>
    </xf>
    <xf numFmtId="164" fontId="11" fillId="11" borderId="36" xfId="27" applyFont="true" applyBorder="true" applyAlignment="true" applyProtection="true">
      <alignment horizontal="center" vertical="center" textRotation="0" wrapText="false" indent="0" shrinkToFit="false"/>
      <protection locked="false" hidden="false"/>
    </xf>
    <xf numFmtId="164" fontId="44" fillId="11" borderId="14" xfId="28" applyFont="true" applyBorder="true" applyAlignment="true" applyProtection="true">
      <alignment horizontal="center" vertical="center" textRotation="0" wrapText="false" indent="0" shrinkToFit="false"/>
      <protection locked="false" hidden="false"/>
    </xf>
    <xf numFmtId="164" fontId="11" fillId="6" borderId="14" xfId="27" applyFont="true" applyBorder="true" applyAlignment="true" applyProtection="true">
      <alignment horizontal="center" vertical="center" textRotation="0" wrapText="false" indent="0" shrinkToFit="false"/>
      <protection locked="true" hidden="false"/>
    </xf>
    <xf numFmtId="164" fontId="44" fillId="11" borderId="29" xfId="27" applyFont="true" applyBorder="true" applyAlignment="true" applyProtection="true">
      <alignment horizontal="center" vertical="center" textRotation="0" wrapText="false" indent="0" shrinkToFit="false"/>
      <protection locked="false" hidden="false"/>
    </xf>
    <xf numFmtId="164" fontId="16" fillId="2" borderId="25" xfId="27" applyFont="true" applyBorder="true" applyAlignment="true" applyProtection="true">
      <alignment horizontal="center" vertical="center" textRotation="0" wrapText="false" indent="0" shrinkToFit="false"/>
      <protection locked="true" hidden="false"/>
    </xf>
    <xf numFmtId="164" fontId="16" fillId="2" borderId="26" xfId="27" applyFont="true" applyBorder="true" applyAlignment="true" applyProtection="true">
      <alignment horizontal="center" vertical="center" textRotation="0" wrapText="false" indent="0" shrinkToFit="false"/>
      <protection locked="true" hidden="false"/>
    </xf>
    <xf numFmtId="164" fontId="16" fillId="2" borderId="27" xfId="27" applyFont="true" applyBorder="true" applyAlignment="true" applyProtection="true">
      <alignment horizontal="center" vertical="center" textRotation="0" wrapText="false" indent="0" shrinkToFit="false"/>
      <protection locked="true" hidden="false"/>
    </xf>
    <xf numFmtId="164" fontId="11" fillId="6" borderId="28" xfId="27" applyFont="true" applyBorder="true" applyAlignment="false" applyProtection="true">
      <alignment horizontal="general" vertical="bottom" textRotation="0" wrapText="false" indent="0" shrinkToFit="false"/>
      <protection locked="true" hidden="false"/>
    </xf>
    <xf numFmtId="164" fontId="45" fillId="6" borderId="14" xfId="27" applyFont="true" applyBorder="true" applyAlignment="true" applyProtection="true">
      <alignment horizontal="left" vertical="bottom" textRotation="0" wrapText="false" indent="0" shrinkToFit="false"/>
      <protection locked="false" hidden="false"/>
    </xf>
    <xf numFmtId="164" fontId="45" fillId="6" borderId="29" xfId="27" applyFont="true" applyBorder="true" applyAlignment="true" applyProtection="true">
      <alignment horizontal="left" vertical="bottom" textRotation="0" wrapText="false" indent="0" shrinkToFit="false"/>
      <protection locked="false" hidden="false"/>
    </xf>
    <xf numFmtId="164" fontId="29" fillId="7" borderId="37" xfId="26" applyFont="true" applyBorder="true" applyAlignment="true" applyProtection="true">
      <alignment horizontal="left" vertical="center" textRotation="0" wrapText="false" indent="0" shrinkToFit="false"/>
      <protection locked="true" hidden="false"/>
    </xf>
    <xf numFmtId="164" fontId="29" fillId="12" borderId="27" xfId="26" applyFont="true" applyBorder="true" applyAlignment="true" applyProtection="true">
      <alignment horizontal="center" vertical="center" textRotation="0" wrapText="false" indent="0" shrinkToFit="false"/>
      <protection locked="true" hidden="false"/>
    </xf>
    <xf numFmtId="168" fontId="11" fillId="6" borderId="28" xfId="27" applyFont="true" applyBorder="true" applyAlignment="false" applyProtection="true">
      <alignment horizontal="general" vertical="bottom" textRotation="0" wrapText="false" indent="0" shrinkToFit="false"/>
      <protection locked="true" hidden="false"/>
    </xf>
    <xf numFmtId="164" fontId="45" fillId="11" borderId="14" xfId="27" applyFont="true" applyBorder="true" applyAlignment="true" applyProtection="true">
      <alignment horizontal="left" vertical="bottom" textRotation="0" wrapText="false" indent="0" shrinkToFit="false"/>
      <protection locked="false" hidden="false"/>
    </xf>
    <xf numFmtId="164" fontId="45" fillId="11" borderId="29" xfId="27" applyFont="true" applyBorder="true" applyAlignment="true" applyProtection="true">
      <alignment horizontal="left" vertical="bottom" textRotation="0" wrapText="false" indent="0" shrinkToFit="false"/>
      <protection locked="false" hidden="false"/>
    </xf>
    <xf numFmtId="164" fontId="30" fillId="7" borderId="38" xfId="26" applyFont="true" applyBorder="true" applyAlignment="true" applyProtection="true">
      <alignment horizontal="general" vertical="center" textRotation="0" wrapText="false" indent="0" shrinkToFit="false"/>
      <protection locked="true" hidden="false"/>
    </xf>
    <xf numFmtId="164" fontId="22" fillId="11" borderId="29" xfId="26" applyFont="true" applyBorder="true" applyAlignment="true" applyProtection="true">
      <alignment horizontal="general" vertical="center" textRotation="0" wrapText="false" indent="0" shrinkToFit="false"/>
      <protection locked="false" hidden="false"/>
    </xf>
    <xf numFmtId="164" fontId="29" fillId="7" borderId="38" xfId="26" applyFont="true" applyBorder="true" applyAlignment="true" applyProtection="true">
      <alignment horizontal="left" vertical="center" textRotation="0" wrapText="false" indent="0" shrinkToFit="false"/>
      <protection locked="true" hidden="false"/>
    </xf>
    <xf numFmtId="164" fontId="29" fillId="12" borderId="29" xfId="26" applyFont="true" applyBorder="true" applyAlignment="true" applyProtection="true">
      <alignment horizontal="center" vertical="center" textRotation="0" wrapText="false" indent="0" shrinkToFit="false"/>
      <protection locked="true" hidden="false"/>
    </xf>
    <xf numFmtId="164" fontId="11" fillId="5" borderId="0" xfId="27" applyFont="true" applyBorder="true" applyAlignment="true" applyProtection="false">
      <alignment horizontal="center" vertical="bottom" textRotation="0" wrapText="false" indent="0" shrinkToFit="false"/>
      <protection locked="true" hidden="false"/>
    </xf>
    <xf numFmtId="168" fontId="11" fillId="6" borderId="31" xfId="27" applyFont="true" applyBorder="true" applyAlignment="false" applyProtection="true">
      <alignment horizontal="general" vertical="bottom" textRotation="0" wrapText="false" indent="0" shrinkToFit="false"/>
      <protection locked="true" hidden="false"/>
    </xf>
    <xf numFmtId="164" fontId="45" fillId="11" borderId="32" xfId="27" applyFont="true" applyBorder="true" applyAlignment="true" applyProtection="true">
      <alignment horizontal="left" vertical="bottom" textRotation="0" wrapText="false" indent="0" shrinkToFit="false"/>
      <protection locked="false" hidden="false"/>
    </xf>
    <xf numFmtId="164" fontId="45" fillId="11" borderId="33" xfId="27" applyFont="true" applyBorder="true" applyAlignment="true" applyProtection="true">
      <alignment horizontal="left" vertical="bottom" textRotation="0" wrapText="false" indent="0" shrinkToFit="false"/>
      <protection locked="false" hidden="false"/>
    </xf>
    <xf numFmtId="171" fontId="22" fillId="11" borderId="29" xfId="26" applyFont="true" applyBorder="true" applyAlignment="true" applyProtection="true">
      <alignment horizontal="general" vertical="center" textRotation="0" wrapText="false" indent="0" shrinkToFit="false"/>
      <protection locked="false" hidden="false"/>
    </xf>
    <xf numFmtId="164" fontId="22" fillId="11" borderId="29" xfId="26" applyFont="true" applyBorder="true" applyAlignment="true" applyProtection="true">
      <alignment horizontal="left" vertical="center" textRotation="0" wrapText="false" indent="0" shrinkToFit="false"/>
      <protection locked="false" hidden="false"/>
    </xf>
    <xf numFmtId="170" fontId="30" fillId="7" borderId="34" xfId="27" applyFont="true" applyBorder="true" applyAlignment="true" applyProtection="false">
      <alignment horizontal="left" vertical="center" textRotation="0" wrapText="false" indent="0" shrinkToFit="false"/>
      <protection locked="true" hidden="false"/>
    </xf>
    <xf numFmtId="164" fontId="11" fillId="11" borderId="36" xfId="27" applyFont="true" applyBorder="true" applyAlignment="true" applyProtection="true">
      <alignment horizontal="center" vertical="bottom" textRotation="0" wrapText="false" indent="0" shrinkToFit="false"/>
      <protection locked="false" hidden="false"/>
    </xf>
    <xf numFmtId="164" fontId="30" fillId="7" borderId="39" xfId="26" applyFont="true" applyBorder="true" applyAlignment="true" applyProtection="true">
      <alignment horizontal="general" vertical="center" textRotation="0" wrapText="false" indent="0" shrinkToFit="false"/>
      <protection locked="true" hidden="false"/>
    </xf>
    <xf numFmtId="164" fontId="22" fillId="11" borderId="33" xfId="26" applyFont="true" applyBorder="true" applyAlignment="true" applyProtection="true">
      <alignment horizontal="left" vertical="center" textRotation="0" wrapText="false" indent="0" shrinkToFit="false"/>
      <protection locked="false" hidden="false"/>
    </xf>
    <xf numFmtId="164" fontId="30" fillId="7" borderId="40" xfId="27" applyFont="true" applyBorder="true" applyAlignment="true" applyProtection="false">
      <alignment horizontal="general" vertical="bottom" textRotation="0" wrapText="false" indent="0" shrinkToFit="false"/>
      <protection locked="true" hidden="false"/>
    </xf>
    <xf numFmtId="164" fontId="11" fillId="11" borderId="22" xfId="27" applyFont="true" applyBorder="true" applyAlignment="true" applyProtection="true">
      <alignment horizontal="center" vertical="bottom" textRotation="0" wrapText="false" indent="0" shrinkToFit="false"/>
      <protection locked="false" hidden="false"/>
    </xf>
    <xf numFmtId="164" fontId="30" fillId="7" borderId="23" xfId="27" applyFont="true" applyBorder="true" applyAlignment="false" applyProtection="false">
      <alignment horizontal="general" vertical="bottom" textRotation="0" wrapText="false" indent="0" shrinkToFit="false"/>
      <protection locked="true" hidden="false"/>
    </xf>
    <xf numFmtId="164" fontId="11" fillId="11" borderId="29" xfId="27" applyFont="true" applyBorder="true" applyAlignment="true" applyProtection="true">
      <alignment horizontal="general" vertical="bottom" textRotation="0" wrapText="false" indent="0" shrinkToFit="false"/>
      <protection locked="false" hidden="false"/>
    </xf>
    <xf numFmtId="164" fontId="46" fillId="7" borderId="14" xfId="27" applyFont="true" applyBorder="true" applyAlignment="false" applyProtection="true">
      <alignment horizontal="general" vertical="bottom" textRotation="0" wrapText="false" indent="0" shrinkToFit="false"/>
      <protection locked="true" hidden="false"/>
    </xf>
    <xf numFmtId="164" fontId="47" fillId="11" borderId="14" xfId="27" applyFont="true" applyBorder="true" applyAlignment="false" applyProtection="true">
      <alignment horizontal="general" vertical="bottom" textRotation="0" wrapText="false" indent="0" shrinkToFit="false"/>
      <protection locked="false" hidden="false"/>
    </xf>
    <xf numFmtId="164" fontId="30" fillId="7" borderId="28" xfId="27" applyFont="true" applyBorder="true" applyAlignment="false" applyProtection="false">
      <alignment horizontal="general" vertical="bottom" textRotation="0" wrapText="false" indent="0" shrinkToFit="false"/>
      <protection locked="true" hidden="false"/>
    </xf>
    <xf numFmtId="168" fontId="48" fillId="5" borderId="14" xfId="27" applyFont="true" applyBorder="true" applyAlignment="true" applyProtection="true">
      <alignment horizontal="left" vertical="top" textRotation="0" wrapText="true" indent="0" shrinkToFit="false"/>
      <protection locked="true" hidden="false"/>
    </xf>
    <xf numFmtId="164" fontId="11" fillId="11" borderId="14" xfId="27" applyFont="true" applyBorder="true" applyAlignment="true" applyProtection="true">
      <alignment horizontal="center" vertical="bottom" textRotation="0" wrapText="false" indent="0" shrinkToFit="false"/>
      <protection locked="false" hidden="false"/>
    </xf>
    <xf numFmtId="164" fontId="30" fillId="7" borderId="14" xfId="27" applyFont="true" applyBorder="true" applyAlignment="false" applyProtection="false">
      <alignment horizontal="general" vertical="bottom" textRotation="0" wrapText="false" indent="0" shrinkToFit="false"/>
      <protection locked="true" hidden="false"/>
    </xf>
    <xf numFmtId="164" fontId="11" fillId="11" borderId="27" xfId="27" applyFont="true" applyBorder="true" applyAlignment="true" applyProtection="true">
      <alignment horizontal="center" vertical="bottom" textRotation="0" wrapText="false" indent="0" shrinkToFit="false"/>
      <protection locked="false" hidden="false"/>
    </xf>
    <xf numFmtId="164" fontId="30" fillId="7" borderId="31" xfId="27" applyFont="true" applyBorder="true" applyAlignment="false" applyProtection="false">
      <alignment horizontal="general" vertical="bottom" textRotation="0" wrapText="false" indent="0" shrinkToFit="false"/>
      <protection locked="true" hidden="false"/>
    </xf>
    <xf numFmtId="164" fontId="11" fillId="11" borderId="32" xfId="27" applyFont="true" applyBorder="true" applyAlignment="true" applyProtection="true">
      <alignment horizontal="center" vertical="bottom" textRotation="0" wrapText="false" indent="0" shrinkToFit="false"/>
      <protection locked="false" hidden="false"/>
    </xf>
    <xf numFmtId="164" fontId="30" fillId="7" borderId="32" xfId="27" applyFont="true" applyBorder="true" applyAlignment="false" applyProtection="false">
      <alignment horizontal="general" vertical="bottom" textRotation="0" wrapText="false" indent="0" shrinkToFit="false"/>
      <protection locked="true" hidden="false"/>
    </xf>
    <xf numFmtId="164" fontId="11" fillId="11" borderId="33" xfId="27" applyFont="true" applyBorder="true" applyAlignment="true" applyProtection="true">
      <alignment horizontal="center" vertical="bottom" textRotation="0" wrapText="false" indent="0" shrinkToFit="false"/>
      <protection locked="false" hidden="false"/>
    </xf>
    <xf numFmtId="168" fontId="49" fillId="5" borderId="0" xfId="27" applyFont="true" applyBorder="false" applyAlignment="false" applyProtection="false">
      <alignment horizontal="general" vertical="bottom" textRotation="0" wrapText="false" indent="0" shrinkToFit="false"/>
      <protection locked="true" hidden="false"/>
    </xf>
    <xf numFmtId="164" fontId="22" fillId="0" borderId="0" xfId="26" applyFont="true" applyBorder="true" applyAlignment="true" applyProtection="false">
      <alignment horizontal="left" vertical="bottom" textRotation="0" wrapText="false" indent="0" shrinkToFit="false"/>
      <protection locked="true" hidden="false"/>
    </xf>
    <xf numFmtId="164" fontId="35" fillId="0" borderId="0" xfId="26" applyFont="true" applyBorder="false" applyAlignment="false" applyProtection="false">
      <alignment horizontal="general" vertical="bottom" textRotation="0" wrapText="false" indent="0" shrinkToFit="false"/>
      <protection locked="true" hidden="false"/>
    </xf>
    <xf numFmtId="164" fontId="22" fillId="0" borderId="0" xfId="26" applyFont="true" applyBorder="true" applyAlignment="true" applyProtection="false">
      <alignment horizontal="general" vertical="bottom" textRotation="0" wrapText="false" indent="0" shrinkToFit="false"/>
      <protection locked="true" hidden="false"/>
    </xf>
    <xf numFmtId="164" fontId="23" fillId="6" borderId="1" xfId="20" applyFont="true" applyBorder="true" applyAlignment="true" applyProtection="true">
      <alignment horizontal="general" vertical="center" textRotation="0" wrapText="true" indent="0" shrinkToFit="false"/>
      <protection locked="true" hidden="false"/>
    </xf>
    <xf numFmtId="164" fontId="22" fillId="0" borderId="0" xfId="26" applyFont="true" applyBorder="true" applyAlignment="true" applyProtection="false">
      <alignment horizontal="general" vertical="center" textRotation="0" wrapText="false" indent="0" shrinkToFit="false"/>
      <protection locked="true" hidden="false"/>
    </xf>
    <xf numFmtId="164" fontId="15" fillId="12" borderId="0" xfId="26" applyFont="true" applyBorder="true" applyAlignment="true" applyProtection="false">
      <alignment horizontal="left" vertical="center" textRotation="0" wrapText="false" indent="0" shrinkToFit="false"/>
      <protection locked="true" hidden="false"/>
    </xf>
    <xf numFmtId="164" fontId="29" fillId="12" borderId="0" xfId="26" applyFont="true" applyBorder="true" applyAlignment="true" applyProtection="false">
      <alignment horizontal="left" vertical="center" textRotation="0" wrapText="false" indent="1" shrinkToFit="false"/>
      <protection locked="true" hidden="false"/>
    </xf>
    <xf numFmtId="164" fontId="29" fillId="7" borderId="14" xfId="26" applyFont="true" applyBorder="true" applyAlignment="true" applyProtection="false">
      <alignment horizontal="general" vertical="center" textRotation="0" wrapText="false" indent="0" shrinkToFit="false"/>
      <protection locked="true" hidden="false"/>
    </xf>
    <xf numFmtId="164" fontId="29" fillId="12" borderId="14" xfId="26" applyFont="true" applyBorder="true" applyAlignment="true" applyProtection="false">
      <alignment horizontal="center" vertical="center" textRotation="0" wrapText="false" indent="0" shrinkToFit="false"/>
      <protection locked="true" hidden="false"/>
    </xf>
    <xf numFmtId="164" fontId="51" fillId="0" borderId="0" xfId="26" applyFont="true" applyBorder="true" applyAlignment="false" applyProtection="false">
      <alignment horizontal="general" vertical="bottom" textRotation="0" wrapText="false" indent="0" shrinkToFit="false"/>
      <protection locked="true" hidden="false"/>
    </xf>
    <xf numFmtId="164" fontId="29" fillId="7" borderId="41" xfId="26" applyFont="true" applyBorder="true" applyAlignment="true" applyProtection="false">
      <alignment horizontal="general" vertical="center" textRotation="0" wrapText="false" indent="0" shrinkToFit="false"/>
      <protection locked="true" hidden="false"/>
    </xf>
    <xf numFmtId="164" fontId="29" fillId="12" borderId="42" xfId="26" applyFont="true" applyBorder="true" applyAlignment="true" applyProtection="false">
      <alignment horizontal="center" vertical="center" textRotation="0" wrapText="false" indent="0" shrinkToFit="false"/>
      <protection locked="true" hidden="false"/>
    </xf>
    <xf numFmtId="165" fontId="23" fillId="11" borderId="14" xfId="23" applyFont="true" applyBorder="true" applyAlignment="true" applyProtection="true">
      <alignment horizontal="center" vertical="center" textRotation="0" wrapText="false" indent="0" shrinkToFit="false"/>
      <protection locked="true" hidden="false"/>
    </xf>
    <xf numFmtId="164" fontId="30" fillId="7" borderId="14" xfId="26" applyFont="true" applyBorder="true" applyAlignment="true" applyProtection="false">
      <alignment horizontal="general" vertical="center" textRotation="0" wrapText="false" indent="0" shrinkToFit="false"/>
      <protection locked="true" hidden="false"/>
    </xf>
    <xf numFmtId="171" fontId="22" fillId="11" borderId="14" xfId="26" applyFont="true" applyBorder="true" applyAlignment="true" applyProtection="true">
      <alignment horizontal="general" vertical="center" textRotation="0" wrapText="false" indent="0" shrinkToFit="false"/>
      <protection locked="false" hidden="false"/>
    </xf>
    <xf numFmtId="164" fontId="51" fillId="0" borderId="0" xfId="26" applyFont="true" applyBorder="true" applyAlignment="true" applyProtection="false">
      <alignment horizontal="general" vertical="center" textRotation="0" wrapText="false" indent="0" shrinkToFit="false"/>
      <protection locked="true" hidden="false"/>
    </xf>
    <xf numFmtId="164" fontId="22" fillId="11" borderId="14" xfId="26" applyFont="true" applyBorder="true" applyAlignment="true" applyProtection="true">
      <alignment horizontal="left" vertical="center" textRotation="0" wrapText="false" indent="0" shrinkToFit="false"/>
      <protection locked="false" hidden="false"/>
    </xf>
    <xf numFmtId="164" fontId="29" fillId="7" borderId="43" xfId="26" applyFont="true" applyBorder="true" applyAlignment="true" applyProtection="false">
      <alignment horizontal="general" vertical="center" textRotation="0" wrapText="false" indent="0" shrinkToFit="false"/>
      <protection locked="true" hidden="false"/>
    </xf>
    <xf numFmtId="171" fontId="22" fillId="11" borderId="14" xfId="26" applyFont="true" applyBorder="true" applyAlignment="true" applyProtection="true">
      <alignment horizontal="left" vertical="center" textRotation="0" wrapText="false" indent="0" shrinkToFit="false"/>
      <protection locked="false" hidden="false"/>
    </xf>
    <xf numFmtId="164" fontId="29" fillId="12" borderId="0" xfId="26" applyFont="true" applyBorder="true" applyAlignment="true" applyProtection="false">
      <alignment horizontal="left" vertical="center" textRotation="0" wrapText="false" indent="0" shrinkToFit="false"/>
      <protection locked="true" hidden="false"/>
    </xf>
    <xf numFmtId="164" fontId="29" fillId="7" borderId="14" xfId="26" applyFont="true" applyBorder="true" applyAlignment="true" applyProtection="false">
      <alignment horizontal="left" vertical="center" textRotation="0" wrapText="false" indent="0" shrinkToFit="false"/>
      <protection locked="true" hidden="false"/>
    </xf>
    <xf numFmtId="164" fontId="22" fillId="11" borderId="14" xfId="26" applyFont="true" applyBorder="true" applyAlignment="true" applyProtection="true">
      <alignment horizontal="general" vertical="center" textRotation="0" wrapText="false" indent="0" shrinkToFit="false"/>
      <protection locked="false" hidden="false"/>
    </xf>
    <xf numFmtId="171" fontId="40" fillId="11" borderId="14" xfId="26" applyFont="true" applyBorder="true" applyAlignment="true" applyProtection="true">
      <alignment horizontal="general" vertical="center" textRotation="0" wrapText="false" indent="0" shrinkToFit="false"/>
      <protection locked="false" hidden="false"/>
    </xf>
    <xf numFmtId="164" fontId="11" fillId="11" borderId="14" xfId="27" applyFont="true" applyBorder="true" applyAlignment="true" applyProtection="true">
      <alignment horizontal="center" vertical="center" textRotation="0" wrapText="false" indent="0" shrinkToFit="false"/>
      <protection locked="false" hidden="false"/>
    </xf>
    <xf numFmtId="165" fontId="23" fillId="11" borderId="44" xfId="23" applyFont="true" applyBorder="true" applyAlignment="true" applyProtection="true">
      <alignment horizontal="center" vertical="center" textRotation="0" wrapText="false" indent="0" shrinkToFit="false"/>
      <protection locked="true" hidden="false"/>
    </xf>
    <xf numFmtId="164" fontId="29" fillId="13" borderId="0" xfId="26" applyFont="true" applyBorder="false" applyAlignment="true" applyProtection="false">
      <alignment horizontal="left" vertical="center" textRotation="0" wrapText="false" indent="0" shrinkToFit="false"/>
      <protection locked="true" hidden="false"/>
    </xf>
    <xf numFmtId="164" fontId="29" fillId="7" borderId="14" xfId="26" applyFont="true" applyBorder="true" applyAlignment="true" applyProtection="true">
      <alignment horizontal="left" vertical="center" textRotation="0" wrapText="false" indent="0" shrinkToFit="false"/>
      <protection locked="true" hidden="false"/>
    </xf>
    <xf numFmtId="164" fontId="11" fillId="11" borderId="14" xfId="26" applyFont="true" applyBorder="true" applyAlignment="true" applyProtection="true">
      <alignment horizontal="left" vertical="center" textRotation="0" wrapText="false" indent="0" shrinkToFit="false"/>
      <protection locked="false" hidden="false"/>
    </xf>
    <xf numFmtId="164" fontId="30" fillId="7" borderId="14" xfId="26" applyFont="true" applyBorder="true" applyAlignment="true" applyProtection="true">
      <alignment horizontal="general" vertical="center" textRotation="0" wrapText="false" indent="0" shrinkToFit="false"/>
      <protection locked="true" hidden="false"/>
    </xf>
    <xf numFmtId="164" fontId="11" fillId="11" borderId="14" xfId="26" applyFont="true" applyBorder="true" applyAlignment="true" applyProtection="true">
      <alignment horizontal="general" vertical="center" textRotation="0" wrapText="false" indent="0" shrinkToFit="false"/>
      <protection locked="false" hidden="false"/>
    </xf>
    <xf numFmtId="165" fontId="23" fillId="11" borderId="44" xfId="23" applyFont="true" applyBorder="true" applyAlignment="true" applyProtection="true">
      <alignment horizontal="center" vertical="center" textRotation="0" wrapText="false" indent="0" shrinkToFit="false"/>
      <protection locked="false" hidden="false"/>
    </xf>
    <xf numFmtId="164" fontId="11" fillId="11" borderId="14" xfId="0" applyFont="true" applyBorder="true" applyAlignment="true" applyProtection="true">
      <alignment horizontal="general" vertical="center" textRotation="0" wrapText="false" indent="0" shrinkToFit="false"/>
      <protection locked="false" hidden="false"/>
    </xf>
    <xf numFmtId="164" fontId="11" fillId="11" borderId="14" xfId="26" applyFont="true" applyBorder="true" applyAlignment="true" applyProtection="true">
      <alignment horizontal="center" vertical="center" textRotation="0" wrapText="false" indent="0" shrinkToFit="false"/>
      <protection locked="false" hidden="false"/>
    </xf>
    <xf numFmtId="168" fontId="52" fillId="0" borderId="0" xfId="0" applyFont="true" applyBorder="true" applyAlignment="true" applyProtection="false">
      <alignment horizontal="left" vertical="center" textRotation="0" wrapText="true" indent="0" shrinkToFit="false"/>
      <protection locked="true" hidden="false"/>
    </xf>
    <xf numFmtId="164" fontId="53" fillId="0" borderId="0" xfId="26" applyFont="true" applyBorder="true" applyAlignment="true" applyProtection="false">
      <alignment horizontal="general" vertical="center" textRotation="0" wrapText="false" indent="0" shrinkToFit="false"/>
      <protection locked="true" hidden="false"/>
    </xf>
    <xf numFmtId="168" fontId="30" fillId="0" borderId="0" xfId="26" applyFont="true" applyBorder="true" applyAlignment="true" applyProtection="false">
      <alignment horizontal="general" vertical="center" textRotation="0" wrapText="false" indent="0" shrinkToFit="false"/>
      <protection locked="true" hidden="false"/>
    </xf>
    <xf numFmtId="168" fontId="49" fillId="0" borderId="0" xfId="26" applyFont="true" applyBorder="true" applyAlignment="true" applyProtection="false">
      <alignment horizontal="left" vertical="center" textRotation="0" wrapText="true" indent="0" shrinkToFit="false"/>
      <protection locked="true" hidden="false"/>
    </xf>
    <xf numFmtId="164" fontId="29" fillId="7" borderId="14" xfId="26" applyFont="true" applyBorder="true" applyAlignment="true" applyProtection="true">
      <alignment horizontal="general" vertical="center" textRotation="0" wrapText="false" indent="0" shrinkToFit="false"/>
      <protection locked="true" hidden="false"/>
    </xf>
    <xf numFmtId="164" fontId="29" fillId="12" borderId="14" xfId="26" applyFont="true" applyBorder="true" applyAlignment="true" applyProtection="true">
      <alignment horizontal="center" vertical="center" textRotation="0" wrapText="false" indent="0" shrinkToFit="false"/>
      <protection locked="true" hidden="false"/>
    </xf>
    <xf numFmtId="164" fontId="42" fillId="11" borderId="14" xfId="26" applyFont="true" applyBorder="true" applyAlignment="true" applyProtection="true">
      <alignment horizontal="left" vertical="center" textRotation="0" wrapText="false" indent="0" shrinkToFit="false"/>
      <protection locked="false" hidden="false"/>
    </xf>
    <xf numFmtId="164" fontId="43" fillId="11" borderId="14" xfId="26" applyFont="true" applyBorder="true" applyAlignment="true" applyProtection="true">
      <alignment horizontal="left" vertical="center" textRotation="0" wrapText="false" indent="0" shrinkToFit="false"/>
      <protection locked="false" hidden="false"/>
    </xf>
    <xf numFmtId="164" fontId="40" fillId="11" borderId="14" xfId="26" applyFont="true" applyBorder="true" applyAlignment="true" applyProtection="true">
      <alignment horizontal="left" vertical="center" textRotation="0" wrapText="false" indent="0" shrinkToFit="false"/>
      <protection locked="false" hidden="false"/>
    </xf>
    <xf numFmtId="164" fontId="29" fillId="7" borderId="14" xfId="26" applyFont="true" applyBorder="true" applyAlignment="true" applyProtection="true">
      <alignment horizontal="center" vertical="center" textRotation="0" wrapText="false" indent="0" shrinkToFit="false"/>
      <protection locked="true" hidden="false"/>
    </xf>
    <xf numFmtId="164" fontId="44" fillId="11" borderId="14" xfId="26" applyFont="true" applyBorder="true" applyAlignment="true" applyProtection="true">
      <alignment horizontal="left" vertical="center" textRotation="0" wrapText="false" indent="0" shrinkToFit="false"/>
      <protection locked="false" hidden="false"/>
    </xf>
    <xf numFmtId="164" fontId="30" fillId="7" borderId="14" xfId="26" applyFont="true" applyBorder="true" applyAlignment="true" applyProtection="true">
      <alignment horizontal="left" vertical="center" textRotation="0" wrapText="false" indent="0" shrinkToFit="false"/>
      <protection locked="true" hidden="false"/>
    </xf>
    <xf numFmtId="164" fontId="54" fillId="11" borderId="14" xfId="26" applyFont="true" applyBorder="true" applyAlignment="true" applyProtection="true">
      <alignment horizontal="general" vertical="center" textRotation="0" wrapText="false" indent="0" shrinkToFit="false"/>
      <protection locked="false" hidden="false"/>
    </xf>
    <xf numFmtId="164" fontId="55" fillId="11" borderId="14" xfId="26" applyFont="true" applyBorder="true" applyAlignment="true" applyProtection="true">
      <alignment horizontal="general" vertical="center" textRotation="0" wrapText="false" indent="0" shrinkToFit="false"/>
      <protection locked="false" hidden="false"/>
    </xf>
    <xf numFmtId="171" fontId="40" fillId="11" borderId="14" xfId="0" applyFont="true" applyBorder="true" applyAlignment="true" applyProtection="true">
      <alignment horizontal="general" vertical="center" textRotation="0" wrapText="false" indent="0" shrinkToFit="false"/>
      <protection locked="false" hidden="false"/>
    </xf>
    <xf numFmtId="164" fontId="56" fillId="6" borderId="0" xfId="0" applyFont="true" applyBorder="false" applyAlignment="true" applyProtection="false">
      <alignment horizontal="center" vertical="bottom" textRotation="0" wrapText="false" indent="0" shrinkToFit="false"/>
      <protection locked="true" hidden="false"/>
    </xf>
    <xf numFmtId="168" fontId="0" fillId="0" borderId="0" xfId="0" applyFont="false" applyBorder="false" applyAlignment="true" applyProtection="false">
      <alignment horizontal="general" vertical="bottom" textRotation="0" wrapText="true" indent="0" shrinkToFit="false"/>
      <protection locked="true" hidden="false"/>
    </xf>
    <xf numFmtId="164" fontId="57" fillId="0" borderId="0" xfId="0" applyFont="true" applyBorder="false" applyAlignment="true" applyProtection="false">
      <alignment horizontal="general" vertical="bottom" textRotation="0" wrapText="false" indent="0" shrinkToFit="false"/>
      <protection locked="true" hidden="false"/>
    </xf>
    <xf numFmtId="168" fontId="57" fillId="6" borderId="0" xfId="0" applyFont="true" applyBorder="false" applyAlignment="true" applyProtection="false">
      <alignment horizontal="general" vertical="bottom" textRotation="0" wrapText="false" indent="0" shrinkToFit="false"/>
      <protection locked="true" hidden="false"/>
    </xf>
    <xf numFmtId="164" fontId="57" fillId="0" borderId="0" xfId="0" applyFont="true" applyBorder="false" applyAlignment="false" applyProtection="false">
      <alignment horizontal="general" vertical="bottom" textRotation="0" wrapText="false" indent="0" shrinkToFit="false"/>
      <protection locked="true" hidden="false"/>
    </xf>
    <xf numFmtId="164" fontId="57" fillId="0" borderId="0" xfId="20" applyFont="true" applyBorder="true" applyAlignment="true" applyProtection="true">
      <alignment horizontal="general" vertical="bottom" textRotation="0" wrapText="false" indent="0" shrinkToFit="false"/>
      <protection locked="true" hidden="false"/>
    </xf>
    <xf numFmtId="168" fontId="57" fillId="6" borderId="0" xfId="0" applyFont="true" applyBorder="false" applyAlignment="false" applyProtection="false">
      <alignment horizontal="general" vertical="bottom" textRotation="0" wrapText="false" indent="0" shrinkToFit="false"/>
      <protection locked="true" hidden="false"/>
    </xf>
    <xf numFmtId="168" fontId="0" fillId="6" borderId="0" xfId="0" applyFont="false" applyBorder="false" applyAlignment="false" applyProtection="false">
      <alignment horizontal="general" vertical="bottom" textRotation="0" wrapText="false" indent="0" shrinkToFit="false"/>
      <protection locked="true" hidden="false"/>
    </xf>
    <xf numFmtId="168" fontId="57" fillId="6" borderId="0" xfId="20" applyFont="true" applyBorder="true" applyAlignment="true" applyProtection="true">
      <alignment horizontal="general" vertical="bottom" textRotation="0" wrapText="false" indent="0" shrinkToFit="false"/>
      <protection locked="true" hidden="false"/>
    </xf>
    <xf numFmtId="168" fontId="0" fillId="6"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58" fillId="0" borderId="0" xfId="0" applyFont="tru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true" applyProtection="false">
      <alignment horizontal="center" vertical="center" textRotation="0" wrapText="false" indent="0" shrinkToFit="false"/>
      <protection locked="true" hidden="false"/>
    </xf>
    <xf numFmtId="172" fontId="0"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72" fontId="0" fillId="7" borderId="0" xfId="0" applyFont="false" applyBorder="false" applyAlignment="true" applyProtection="false">
      <alignment horizontal="center" vertical="center" textRotation="0" wrapText="false" indent="0" shrinkToFit="false"/>
      <protection locked="true" hidden="false"/>
    </xf>
    <xf numFmtId="164" fontId="0" fillId="7" borderId="0" xfId="0" applyFont="false" applyBorder="false" applyAlignment="true" applyProtection="false">
      <alignment horizontal="general" vertical="bottom" textRotation="0" wrapText="tru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60% - Accent1 2" xfId="21"/>
    <cellStyle name="Accent1 2" xfId="22"/>
    <cellStyle name="Comma 2" xfId="23"/>
    <cellStyle name="Hyperlink 2" xfId="24"/>
    <cellStyle name="Hyperlink 3" xfId="25"/>
    <cellStyle name="Normal 2" xfId="26"/>
    <cellStyle name="Normal 3" xfId="27"/>
    <cellStyle name="Normal 3 2" xfId="28"/>
    <cellStyle name="*unknown*" xfId="20" builtinId="8"/>
  </cellStyles>
  <dxfs count="198">
    <dxf>
      <font>
        <color rgb="FF006100"/>
      </font>
      <fill>
        <patternFill>
          <bgColor rgb="FFC6EFCE"/>
        </patternFill>
      </fill>
    </dxf>
    <dxf>
      <font>
        <color rgb="FF9C0006"/>
      </font>
      <fill>
        <patternFill>
          <bgColor rgb="FFFFC7CE"/>
        </patternFill>
      </fill>
    </dxf>
    <dxf>
      <font>
        <b val="0"/>
        <i val="0"/>
        <color rgb="FF000000"/>
      </font>
      <fill>
        <patternFill>
          <bgColor rgb="FFD9D9D9"/>
        </patternFill>
      </fill>
    </dxf>
    <dxf>
      <font>
        <b val="1"/>
        <i val="0"/>
        <color rgb="FF9C0006"/>
      </font>
      <fill>
        <patternFill>
          <bgColor rgb="FFE6B9B8"/>
        </patternFill>
      </fill>
    </dxf>
    <dxf>
      <font>
        <b val="1"/>
        <i val="0"/>
        <color rgb="FF9C0006"/>
      </font>
      <fill>
        <patternFill>
          <bgColor rgb="FFE6B9B8"/>
        </patternFill>
      </fill>
    </dxf>
    <dxf>
      <font>
        <b val="1"/>
        <i val="0"/>
        <color rgb="FFC00000"/>
      </font>
      <fill>
        <patternFill>
          <bgColor rgb="FFE6B9B8"/>
        </patternFill>
      </fill>
    </dxf>
    <dxf>
      <font>
        <b val="1"/>
        <i val="0"/>
        <color rgb="FFC00000"/>
      </font>
      <fill>
        <patternFill>
          <bgColor rgb="FFE6B9B8"/>
        </patternFill>
      </fill>
    </dxf>
    <dxf>
      <font>
        <b val="1"/>
        <i val="0"/>
        <color rgb="FFC00000"/>
      </font>
      <fill>
        <patternFill>
          <bgColor rgb="FFE6B9B8"/>
        </patternFill>
      </fill>
    </dxf>
    <dxf>
      <font>
        <b val="1"/>
        <i val="0"/>
        <color rgb="FFC00000"/>
      </font>
      <fill>
        <patternFill>
          <bgColor rgb="FFE6B9B8"/>
        </patternFill>
      </fill>
    </dxf>
    <dxf>
      <font>
        <b val="1"/>
        <i val="0"/>
        <color rgb="FFC00000"/>
      </font>
      <fill>
        <patternFill>
          <bgColor rgb="FFE6B9B8"/>
        </patternFill>
      </fill>
    </dxf>
    <dxf>
      <font>
        <b val="1"/>
        <i val="0"/>
        <color rgb="FF9C0006"/>
      </font>
      <fill>
        <patternFill>
          <bgColor rgb="FFE6B9B8"/>
        </patternFill>
      </fill>
    </dxf>
    <dxf>
      <font>
        <b val="1"/>
        <i val="0"/>
        <color rgb="FFC00000"/>
      </font>
      <fill>
        <patternFill>
          <bgColor rgb="FFE6B9B8"/>
        </patternFill>
      </fill>
    </dxf>
    <dxf>
      <font>
        <b val="1"/>
        <i val="0"/>
        <color rgb="FF9C0006"/>
      </font>
      <fill>
        <patternFill>
          <bgColor rgb="FFE6B9B8"/>
        </patternFill>
      </fill>
    </dxf>
    <dxf>
      <font>
        <b val="1"/>
        <i val="0"/>
        <color rgb="FFC00000"/>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color rgb="FF595959"/>
      </font>
      <fill>
        <patternFill>
          <bgColor rgb="FF303030"/>
        </patternFill>
      </fill>
    </dxf>
    <dxf>
      <font>
        <color rgb="FF9C0006"/>
      </font>
      <fill>
        <patternFill>
          <bgColor rgb="FFFFC7CE"/>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C00000"/>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color rgb="FF595959"/>
      </font>
      <fill>
        <patternFill>
          <bgColor rgb="FF303030"/>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color rgb="FF595959"/>
      </font>
      <fill>
        <patternFill>
          <bgColor rgb="FF303030"/>
        </patternFill>
      </fill>
    </dxf>
    <dxf>
      <font>
        <b val="1"/>
        <i val="0"/>
        <color rgb="FF9C0006"/>
      </font>
      <fill>
        <patternFill>
          <bgColor rgb="FFE6B9B8"/>
        </patternFill>
      </fill>
    </dxf>
    <dxf>
      <font>
        <color rgb="FF595959"/>
      </font>
      <fill>
        <patternFill>
          <bgColor rgb="FF303030"/>
        </patternFill>
      </fill>
    </dxf>
    <dxf>
      <fill>
        <patternFill>
          <bgColor rgb="FFF2F2F2"/>
        </patternFill>
      </fill>
    </dxf>
    <dxf>
      <fill>
        <patternFill>
          <bgColor rgb="FFF2F2F2"/>
        </patternFill>
      </fill>
    </dxf>
    <dxf>
      <fill>
        <patternFill>
          <bgColor rgb="FFF2F2F2"/>
        </patternFill>
      </fill>
    </dxf>
    <dxf>
      <font>
        <b val="1"/>
        <i val="0"/>
        <color rgb="FF9C0006"/>
      </font>
      <fill>
        <patternFill>
          <bgColor rgb="FFE6B9B8"/>
        </patternFill>
      </fill>
    </dxf>
    <dxf>
      <font>
        <b val="1"/>
        <i val="0"/>
        <color rgb="FF9C0006"/>
      </font>
      <fill>
        <patternFill>
          <bgColor rgb="FFE6B9B8"/>
        </patternFill>
      </fill>
    </dxf>
    <dxf>
      <font>
        <b val="0"/>
        <i val="0"/>
        <color rgb="FF000000"/>
      </font>
      <fill>
        <patternFill>
          <bgColor rgb="FFFFFFE5"/>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C00000"/>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0"/>
        <i val="0"/>
        <color rgb="FF000000"/>
      </font>
      <fill>
        <patternFill>
          <bgColor rgb="FFFFFFE5"/>
        </patternFill>
      </fill>
    </dxf>
    <dxf>
      <fill>
        <patternFill>
          <bgColor rgb="FFF2F2F2"/>
        </patternFill>
      </fill>
    </dxf>
    <dxf>
      <fill>
        <patternFill>
          <bgColor rgb="FFF2F2F2"/>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C00000"/>
      </font>
      <fill>
        <patternFill>
          <bgColor rgb="FFE6B9B8"/>
        </patternFill>
      </fill>
    </dxf>
    <dxf>
      <font>
        <b val="1"/>
        <i val="0"/>
        <color rgb="FF9C0006"/>
      </font>
      <fill>
        <patternFill>
          <bgColor rgb="FFE6B9B8"/>
        </patternFill>
      </fill>
    </dxf>
    <dxf>
      <font>
        <b val="1"/>
        <i val="0"/>
        <color rgb="FFC00000"/>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ill>
        <patternFill>
          <bgColor rgb="FFF2F2F2"/>
        </patternFill>
      </fill>
    </dxf>
    <dxf>
      <fill>
        <patternFill>
          <bgColor rgb="FFF2F2F2"/>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C0504D"/>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C00000"/>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9C0006"/>
      </font>
      <fill>
        <patternFill>
          <bgColor rgb="FFE6B9B8"/>
        </patternFill>
      </fill>
    </dxf>
    <dxf>
      <font>
        <b val="1"/>
        <i val="0"/>
        <color rgb="FFC00000"/>
      </font>
      <fill>
        <patternFill>
          <bgColor rgb="FFE6B9B8"/>
        </patternFill>
      </fill>
    </dxf>
    <dxf>
      <font>
        <b val="1"/>
        <i val="0"/>
        <color rgb="FFC00000"/>
      </font>
      <fill>
        <patternFill>
          <bgColor rgb="FFE6B9B8"/>
        </patternFill>
      </fill>
    </dxf>
    <dxf>
      <font>
        <color rgb="FF595959"/>
      </font>
      <fill>
        <patternFill>
          <bgColor rgb="FF303030"/>
        </patternFill>
      </fill>
    </dxf>
    <dxf>
      <font>
        <color rgb="FF595959"/>
      </font>
      <fill>
        <patternFill>
          <bgColor rgb="FF303030"/>
        </patternFill>
      </fill>
    </dxf>
    <dxf>
      <font>
        <color rgb="FF595959"/>
      </font>
      <fill>
        <patternFill>
          <bgColor rgb="FF303030"/>
        </patternFill>
      </fill>
    </dxf>
    <dxf>
      <font>
        <color rgb="FF595959"/>
      </font>
      <fill>
        <patternFill>
          <bgColor rgb="FF303030"/>
        </patternFill>
      </fill>
    </dxf>
    <dxf>
      <font>
        <b val="1"/>
        <i val="0"/>
        <color rgb="FFFF0000"/>
      </font>
    </dxf>
    <dxf>
      <font>
        <b val="1"/>
        <i val="0"/>
        <color rgb="FFFF0000"/>
      </font>
    </dxf>
    <dxf>
      <font>
        <b val="1"/>
        <i val="0"/>
        <color rgb="FFFF0000"/>
      </font>
    </dxf>
    <dxf>
      <font>
        <b val="1"/>
        <i val="0"/>
        <color rgb="FFFF0000"/>
      </font>
    </dxf>
    <dxf>
      <font>
        <b val="1"/>
        <i val="0"/>
        <color rgb="FFFF0000"/>
      </font>
    </dxf>
    <dxf>
      <font>
        <b val="1"/>
        <i val="0"/>
        <color rgb="FFFF0000"/>
      </font>
    </dxf>
    <dxf>
      <font>
        <b val="1"/>
        <i val="0"/>
        <color rgb="FFFF0000"/>
      </font>
    </dxf>
    <dxf>
      <font>
        <b val="1"/>
        <i val="0"/>
        <color rgb="FFFF0000"/>
      </font>
    </dxf>
    <dxf>
      <font>
        <b val="1"/>
        <i val="0"/>
        <color rgb="FFFF0000"/>
      </font>
    </dxf>
    <dxf>
      <font>
        <b val="1"/>
        <i val="0"/>
        <color rgb="FFFF0000"/>
      </font>
    </dxf>
    <dxf>
      <font>
        <b val="1"/>
        <i val="0"/>
        <color rgb="FFFF0000"/>
      </font>
    </dxf>
    <dxf>
      <font>
        <b val="1"/>
        <i val="0"/>
        <color rgb="FFFF0000"/>
      </font>
    </dxf>
  </dxfs>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BFBFBF"/>
      <rgbColor rgb="FF808080"/>
      <rgbColor rgb="FF558ED5"/>
      <rgbColor rgb="FFC0504D"/>
      <rgbColor rgb="FFFFFFE5"/>
      <rgbColor rgb="FFDCE6F2"/>
      <rgbColor rgb="FF660066"/>
      <rgbColor rgb="FFFF8080"/>
      <rgbColor rgb="FF376092"/>
      <rgbColor rgb="FFB9CDE5"/>
      <rgbColor rgb="FF000080"/>
      <rgbColor rgb="FFFF00FF"/>
      <rgbColor rgb="FFFFFF00"/>
      <rgbColor rgb="FF00FFFF"/>
      <rgbColor rgb="FF800080"/>
      <rgbColor rgb="FFC00000"/>
      <rgbColor rgb="FF008080"/>
      <rgbColor rgb="FF0000FF"/>
      <rgbColor rgb="FF00CCFF"/>
      <rgbColor rgb="FFF2F2F2"/>
      <rgbColor rgb="FFC6EFCE"/>
      <rgbColor rgb="FFD9D9D9"/>
      <rgbColor rgb="FF95B3D7"/>
      <rgbColor rgb="FFE6B9B8"/>
      <rgbColor rgb="FFCC99FF"/>
      <rgbColor rgb="FFFFC7CE"/>
      <rgbColor rgb="FF4F81BD"/>
      <rgbColor rgb="FF4BACC6"/>
      <rgbColor rgb="FF9BBB59"/>
      <rgbColor rgb="FFFFCC00"/>
      <rgbColor rgb="FFF79646"/>
      <rgbColor rgb="FFFF6600"/>
      <rgbColor rgb="FF8064A2"/>
      <rgbColor rgb="FF948A54"/>
      <rgbColor rgb="FF17375E"/>
      <rgbColor rgb="FF339966"/>
      <rgbColor rgb="FF454545"/>
      <rgbColor rgb="FF1D1C1D"/>
      <rgbColor rgb="FF993300"/>
      <rgbColor rgb="FF595959"/>
      <rgbColor rgb="FF1F497D"/>
      <rgbColor rgb="FF303030"/>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
</Relationships>
</file>

<file path=xl/drawings/_rels/drawing2.xml.rels><?xml version="1.0" encoding="UTF-8"?>
<Relationships xmlns="http://schemas.openxmlformats.org/package/2006/relationships"><Relationship Id="rId1" Type="http://schemas.openxmlformats.org/officeDocument/2006/relationships/image" Target="../media/image3.jpeg"/><Relationship Id="rId2" Type="http://schemas.openxmlformats.org/officeDocument/2006/relationships/image" Target="../media/image4.png"/>
</Relationships>
</file>

<file path=xl/drawings/_rels/drawing3.xml.rels><?xml version="1.0" encoding="UTF-8"?>
<Relationships xmlns="http://schemas.openxmlformats.org/package/2006/relationships"><Relationship Id="rId1" Type="http://schemas.openxmlformats.org/officeDocument/2006/relationships/image" Target="../media/image5.jpeg"/><Relationship Id="rId2" Type="http://schemas.openxmlformats.org/officeDocument/2006/relationships/image" Target="../media/image6.png"/>
</Relationships>
</file>

<file path=xl/drawings/_rels/drawing4.xml.rels><?xml version="1.0" encoding="UTF-8"?>
<Relationships xmlns="http://schemas.openxmlformats.org/package/2006/relationships"><Relationship Id="rId1" Type="http://schemas.openxmlformats.org/officeDocument/2006/relationships/image" Target="../media/image7.jpeg"/><Relationship Id="rId2" Type="http://schemas.openxmlformats.org/officeDocument/2006/relationships/image" Target="../media/image8.png"/>
</Relationships>
</file>

<file path=xl/drawings/_rels/drawing5.xml.rels><?xml version="1.0" encoding="UTF-8"?>
<Relationships xmlns="http://schemas.openxmlformats.org/package/2006/relationships"><Relationship Id="rId1" Type="http://schemas.openxmlformats.org/officeDocument/2006/relationships/image" Target="../media/image9.jpeg"/><Relationship Id="rId2" Type="http://schemas.openxmlformats.org/officeDocument/2006/relationships/image" Target="../media/image10.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19440</xdr:colOff>
      <xdr:row>0</xdr:row>
      <xdr:rowOff>19440</xdr:rowOff>
    </xdr:from>
    <xdr:to>
      <xdr:col>7</xdr:col>
      <xdr:colOff>7560</xdr:colOff>
      <xdr:row>1</xdr:row>
      <xdr:rowOff>11520</xdr:rowOff>
    </xdr:to>
    <xdr:pic>
      <xdr:nvPicPr>
        <xdr:cNvPr id="0" name="Picture 4" descr=""/>
        <xdr:cNvPicPr/>
      </xdr:nvPicPr>
      <xdr:blipFill>
        <a:blip r:embed="rId1"/>
        <a:stretch/>
      </xdr:blipFill>
      <xdr:spPr>
        <a:xfrm>
          <a:off x="19440" y="19440"/>
          <a:ext cx="14690880" cy="601560"/>
        </a:xfrm>
        <a:prstGeom prst="rect">
          <a:avLst/>
        </a:prstGeom>
        <a:ln>
          <a:noFill/>
        </a:ln>
      </xdr:spPr>
    </xdr:pic>
    <xdr:clientData/>
  </xdr:twoCellAnchor>
  <xdr:twoCellAnchor editAs="oneCell">
    <xdr:from>
      <xdr:col>4</xdr:col>
      <xdr:colOff>1254600</xdr:colOff>
      <xdr:row>0</xdr:row>
      <xdr:rowOff>133200</xdr:rowOff>
    </xdr:from>
    <xdr:to>
      <xdr:col>4</xdr:col>
      <xdr:colOff>2666160</xdr:colOff>
      <xdr:row>0</xdr:row>
      <xdr:rowOff>447840</xdr:rowOff>
    </xdr:to>
    <xdr:pic>
      <xdr:nvPicPr>
        <xdr:cNvPr id="1" name="Picture 3" descr=""/>
        <xdr:cNvPicPr/>
      </xdr:nvPicPr>
      <xdr:blipFill>
        <a:blip r:embed="rId2"/>
        <a:stretch/>
      </xdr:blipFill>
      <xdr:spPr>
        <a:xfrm>
          <a:off x="11604960" y="133200"/>
          <a:ext cx="1411560" cy="314640"/>
        </a:xfrm>
        <a:prstGeom prst="rect">
          <a:avLst/>
        </a:prstGeom>
        <a:ln>
          <a:noFill/>
        </a:ln>
      </xdr:spPr>
    </xdr:pic>
    <xdr:clientData/>
  </xdr:twoCellAnchor>
  <xdr:twoCellAnchor editAs="twoCell">
    <xdr:from>
      <xdr:col>1</xdr:col>
      <xdr:colOff>57600</xdr:colOff>
      <xdr:row>0</xdr:row>
      <xdr:rowOff>94680</xdr:rowOff>
    </xdr:from>
    <xdr:to>
      <xdr:col>3</xdr:col>
      <xdr:colOff>756720</xdr:colOff>
      <xdr:row>2</xdr:row>
      <xdr:rowOff>364680</xdr:rowOff>
    </xdr:to>
    <xdr:sp>
      <xdr:nvSpPr>
        <xdr:cNvPr id="2" name="CustomShape 1"/>
        <xdr:cNvSpPr/>
      </xdr:nvSpPr>
      <xdr:spPr>
        <a:xfrm>
          <a:off x="139320" y="94680"/>
          <a:ext cx="7238520" cy="917640"/>
        </a:xfrm>
        <a:prstGeom prst="rect">
          <a:avLst/>
        </a:prstGeom>
        <a:noFill/>
        <a:ln>
          <a:noFill/>
        </a:ln>
      </xdr:spPr>
      <xdr:style>
        <a:lnRef idx="0"/>
        <a:fillRef idx="0"/>
        <a:effectRef idx="0"/>
        <a:fontRef idx="minor"/>
      </xdr:style>
      <xdr:txBody>
        <a:bodyPr lIns="90000" rIns="90000" tIns="45000" bIns="45000">
          <a:spAutoFit/>
        </a:bodyPr>
        <a:p>
          <a:pPr>
            <a:lnSpc>
              <a:spcPct val="100000"/>
            </a:lnSpc>
          </a:pPr>
          <a:r>
            <a:rPr b="0" lang="en-US" sz="2800" spc="-1" strike="noStrike">
              <a:solidFill>
                <a:srgbClr val="ffffff"/>
              </a:solidFill>
              <a:latin typeface="Metropolis"/>
            </a:rPr>
            <a:t>Cloud Foundation Prerequisite Checklist</a:t>
          </a:r>
          <a:endParaRPr b="0" lang="en-US" sz="28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12</xdr:col>
      <xdr:colOff>7560</xdr:colOff>
      <xdr:row>0</xdr:row>
      <xdr:rowOff>608760</xdr:rowOff>
    </xdr:to>
    <xdr:pic>
      <xdr:nvPicPr>
        <xdr:cNvPr id="3" name="Picture 4" descr=""/>
        <xdr:cNvPicPr/>
      </xdr:nvPicPr>
      <xdr:blipFill>
        <a:blip r:embed="rId1"/>
        <a:stretch/>
      </xdr:blipFill>
      <xdr:spPr>
        <a:xfrm>
          <a:off x="0" y="0"/>
          <a:ext cx="14616720" cy="608760"/>
        </a:xfrm>
        <a:prstGeom prst="rect">
          <a:avLst/>
        </a:prstGeom>
        <a:ln>
          <a:noFill/>
        </a:ln>
      </xdr:spPr>
    </xdr:pic>
    <xdr:clientData/>
  </xdr:twoCellAnchor>
  <xdr:twoCellAnchor editAs="oneCell">
    <xdr:from>
      <xdr:col>10</xdr:col>
      <xdr:colOff>649080</xdr:colOff>
      <xdr:row>0</xdr:row>
      <xdr:rowOff>160920</xdr:rowOff>
    </xdr:from>
    <xdr:to>
      <xdr:col>11</xdr:col>
      <xdr:colOff>1014120</xdr:colOff>
      <xdr:row>0</xdr:row>
      <xdr:rowOff>475560</xdr:rowOff>
    </xdr:to>
    <xdr:pic>
      <xdr:nvPicPr>
        <xdr:cNvPr id="4" name="Picture 3" descr=""/>
        <xdr:cNvPicPr/>
      </xdr:nvPicPr>
      <xdr:blipFill>
        <a:blip r:embed="rId2"/>
        <a:stretch/>
      </xdr:blipFill>
      <xdr:spPr>
        <a:xfrm>
          <a:off x="11613600" y="160920"/>
          <a:ext cx="1552320" cy="31464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9360</xdr:rowOff>
    </xdr:from>
    <xdr:to>
      <xdr:col>5</xdr:col>
      <xdr:colOff>35640</xdr:colOff>
      <xdr:row>0</xdr:row>
      <xdr:rowOff>608760</xdr:rowOff>
    </xdr:to>
    <xdr:pic>
      <xdr:nvPicPr>
        <xdr:cNvPr id="5" name="Picture 4" descr=""/>
        <xdr:cNvPicPr/>
      </xdr:nvPicPr>
      <xdr:blipFill>
        <a:blip r:embed="rId1"/>
        <a:stretch/>
      </xdr:blipFill>
      <xdr:spPr>
        <a:xfrm>
          <a:off x="0" y="9360"/>
          <a:ext cx="13158360" cy="599400"/>
        </a:xfrm>
        <a:prstGeom prst="rect">
          <a:avLst/>
        </a:prstGeom>
        <a:ln>
          <a:noFill/>
        </a:ln>
      </xdr:spPr>
    </xdr:pic>
    <xdr:clientData/>
  </xdr:twoCellAnchor>
  <xdr:twoCellAnchor editAs="twoCell">
    <xdr:from>
      <xdr:col>0</xdr:col>
      <xdr:colOff>22680</xdr:colOff>
      <xdr:row>0</xdr:row>
      <xdr:rowOff>94320</xdr:rowOff>
    </xdr:from>
    <xdr:to>
      <xdr:col>2</xdr:col>
      <xdr:colOff>1387080</xdr:colOff>
      <xdr:row>0</xdr:row>
      <xdr:rowOff>597960</xdr:rowOff>
    </xdr:to>
    <xdr:sp>
      <xdr:nvSpPr>
        <xdr:cNvPr id="6" name="CustomShape 1"/>
        <xdr:cNvSpPr/>
      </xdr:nvSpPr>
      <xdr:spPr>
        <a:xfrm>
          <a:off x="22680" y="94320"/>
          <a:ext cx="3339000" cy="503640"/>
        </a:xfrm>
        <a:prstGeom prst="rect">
          <a:avLst/>
        </a:prstGeom>
        <a:noFill/>
        <a:ln>
          <a:noFill/>
        </a:ln>
      </xdr:spPr>
      <xdr:style>
        <a:lnRef idx="0"/>
        <a:fillRef idx="0"/>
        <a:effectRef idx="0"/>
        <a:fontRef idx="minor"/>
      </xdr:style>
      <xdr:txBody>
        <a:bodyPr wrap="none" lIns="90000" rIns="90000" tIns="45000" bIns="45000">
          <a:spAutoFit/>
        </a:bodyPr>
        <a:p>
          <a:pPr>
            <a:lnSpc>
              <a:spcPct val="100000"/>
            </a:lnSpc>
          </a:pPr>
          <a:r>
            <a:rPr b="0" lang="en-US" sz="2800" spc="-1" strike="noStrike">
              <a:solidFill>
                <a:srgbClr val="ffffff"/>
              </a:solidFill>
              <a:latin typeface="Metropolis"/>
            </a:rPr>
            <a:t>Users and Groups</a:t>
          </a:r>
          <a:endParaRPr b="0" lang="en-US" sz="2800" spc="-1" strike="noStrike">
            <a:latin typeface="Times New Roman"/>
          </a:endParaRPr>
        </a:p>
      </xdr:txBody>
    </xdr:sp>
    <xdr:clientData/>
  </xdr:twoCellAnchor>
  <xdr:twoCellAnchor editAs="oneCell">
    <xdr:from>
      <xdr:col>3</xdr:col>
      <xdr:colOff>7262640</xdr:colOff>
      <xdr:row>0</xdr:row>
      <xdr:rowOff>95040</xdr:rowOff>
    </xdr:from>
    <xdr:to>
      <xdr:col>4</xdr:col>
      <xdr:colOff>684720</xdr:colOff>
      <xdr:row>0</xdr:row>
      <xdr:rowOff>409680</xdr:rowOff>
    </xdr:to>
    <xdr:pic>
      <xdr:nvPicPr>
        <xdr:cNvPr id="7" name="Picture 4" descr=""/>
        <xdr:cNvPicPr/>
      </xdr:nvPicPr>
      <xdr:blipFill>
        <a:blip r:embed="rId2"/>
        <a:stretch/>
      </xdr:blipFill>
      <xdr:spPr>
        <a:xfrm>
          <a:off x="11059920" y="95040"/>
          <a:ext cx="889560" cy="31464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5400</xdr:rowOff>
    </xdr:from>
    <xdr:to>
      <xdr:col>12</xdr:col>
      <xdr:colOff>128880</xdr:colOff>
      <xdr:row>0</xdr:row>
      <xdr:rowOff>608400</xdr:rowOff>
    </xdr:to>
    <xdr:pic>
      <xdr:nvPicPr>
        <xdr:cNvPr id="8" name="Picture 4" descr=""/>
        <xdr:cNvPicPr/>
      </xdr:nvPicPr>
      <xdr:blipFill>
        <a:blip r:embed="rId1"/>
        <a:stretch/>
      </xdr:blipFill>
      <xdr:spPr>
        <a:xfrm>
          <a:off x="0" y="5400"/>
          <a:ext cx="14605560" cy="603000"/>
        </a:xfrm>
        <a:prstGeom prst="rect">
          <a:avLst/>
        </a:prstGeom>
        <a:ln>
          <a:noFill/>
        </a:ln>
      </xdr:spPr>
    </xdr:pic>
    <xdr:clientData/>
  </xdr:twoCellAnchor>
  <xdr:twoCellAnchor editAs="twoCell">
    <xdr:from>
      <xdr:col>1</xdr:col>
      <xdr:colOff>11880</xdr:colOff>
      <xdr:row>0</xdr:row>
      <xdr:rowOff>67320</xdr:rowOff>
    </xdr:from>
    <xdr:to>
      <xdr:col>3</xdr:col>
      <xdr:colOff>1903680</xdr:colOff>
      <xdr:row>0</xdr:row>
      <xdr:rowOff>570960</xdr:rowOff>
    </xdr:to>
    <xdr:sp>
      <xdr:nvSpPr>
        <xdr:cNvPr id="9" name="CustomShape 1"/>
        <xdr:cNvSpPr/>
      </xdr:nvSpPr>
      <xdr:spPr>
        <a:xfrm>
          <a:off x="93600" y="67320"/>
          <a:ext cx="3740400" cy="503640"/>
        </a:xfrm>
        <a:prstGeom prst="rect">
          <a:avLst/>
        </a:prstGeom>
        <a:noFill/>
        <a:ln>
          <a:noFill/>
        </a:ln>
      </xdr:spPr>
      <xdr:style>
        <a:lnRef idx="0"/>
        <a:fillRef idx="0"/>
        <a:effectRef idx="0"/>
        <a:fontRef idx="minor"/>
      </xdr:style>
      <xdr:txBody>
        <a:bodyPr wrap="none" lIns="90000" rIns="90000" tIns="45000" bIns="45000">
          <a:spAutoFit/>
        </a:bodyPr>
        <a:p>
          <a:pPr>
            <a:lnSpc>
              <a:spcPct val="100000"/>
            </a:lnSpc>
          </a:pPr>
          <a:r>
            <a:rPr b="0" lang="en-US" sz="2800" spc="-1" strike="noStrike">
              <a:solidFill>
                <a:srgbClr val="ffffff"/>
              </a:solidFill>
              <a:latin typeface="Metropolis"/>
            </a:rPr>
            <a:t>Hosts and Networks</a:t>
          </a:r>
          <a:endParaRPr b="0" lang="en-US" sz="2800" spc="-1" strike="noStrike">
            <a:latin typeface="Times New Roman"/>
          </a:endParaRPr>
        </a:p>
      </xdr:txBody>
    </xdr:sp>
    <xdr:clientData/>
  </xdr:twoCellAnchor>
  <xdr:twoCellAnchor editAs="oneCell">
    <xdr:from>
      <xdr:col>10</xdr:col>
      <xdr:colOff>149760</xdr:colOff>
      <xdr:row>0</xdr:row>
      <xdr:rowOff>149400</xdr:rowOff>
    </xdr:from>
    <xdr:to>
      <xdr:col>10</xdr:col>
      <xdr:colOff>1627920</xdr:colOff>
      <xdr:row>0</xdr:row>
      <xdr:rowOff>460080</xdr:rowOff>
    </xdr:to>
    <xdr:pic>
      <xdr:nvPicPr>
        <xdr:cNvPr id="10" name="Picture 3" descr=""/>
        <xdr:cNvPicPr/>
      </xdr:nvPicPr>
      <xdr:blipFill>
        <a:blip r:embed="rId2"/>
        <a:stretch/>
      </xdr:blipFill>
      <xdr:spPr>
        <a:xfrm>
          <a:off x="10864440" y="149400"/>
          <a:ext cx="1478160" cy="31068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9360</xdr:rowOff>
    </xdr:from>
    <xdr:to>
      <xdr:col>11</xdr:col>
      <xdr:colOff>17280</xdr:colOff>
      <xdr:row>1</xdr:row>
      <xdr:rowOff>16560</xdr:rowOff>
    </xdr:to>
    <xdr:pic>
      <xdr:nvPicPr>
        <xdr:cNvPr id="11" name="Picture 4" descr=""/>
        <xdr:cNvPicPr/>
      </xdr:nvPicPr>
      <xdr:blipFill>
        <a:blip r:embed="rId1"/>
        <a:stretch/>
      </xdr:blipFill>
      <xdr:spPr>
        <a:xfrm>
          <a:off x="0" y="9360"/>
          <a:ext cx="14752800" cy="616680"/>
        </a:xfrm>
        <a:prstGeom prst="rect">
          <a:avLst/>
        </a:prstGeom>
        <a:ln>
          <a:noFill/>
        </a:ln>
      </xdr:spPr>
    </xdr:pic>
    <xdr:clientData/>
  </xdr:twoCellAnchor>
  <xdr:twoCellAnchor editAs="oneCell">
    <xdr:from>
      <xdr:col>8</xdr:col>
      <xdr:colOff>1289160</xdr:colOff>
      <xdr:row>0</xdr:row>
      <xdr:rowOff>149400</xdr:rowOff>
    </xdr:from>
    <xdr:to>
      <xdr:col>8</xdr:col>
      <xdr:colOff>2750400</xdr:colOff>
      <xdr:row>0</xdr:row>
      <xdr:rowOff>467280</xdr:rowOff>
    </xdr:to>
    <xdr:pic>
      <xdr:nvPicPr>
        <xdr:cNvPr id="12" name="Picture 4" descr=""/>
        <xdr:cNvPicPr/>
      </xdr:nvPicPr>
      <xdr:blipFill>
        <a:blip r:embed="rId2"/>
        <a:stretch/>
      </xdr:blipFill>
      <xdr:spPr>
        <a:xfrm>
          <a:off x="10697040" y="149400"/>
          <a:ext cx="1461240" cy="317880"/>
        </a:xfrm>
        <a:prstGeom prst="rect">
          <a:avLst/>
        </a:prstGeom>
        <a:ln>
          <a:noFill/>
        </a:ln>
      </xdr:spPr>
    </xdr:pic>
    <xdr:clientData/>
  </xdr:twoCellAnchor>
</xdr:wsDr>
</file>

<file path=xl/tables/table1.xml><?xml version="1.0" encoding="utf-8"?>
<table xmlns="http://schemas.openxmlformats.org/spreadsheetml/2006/main" id="1" name="Table3" displayName="Table3" ref="A1:B121" headerRowCount="1" totalsRowCount="0" totalsRowShown="0">
  <autoFilter ref="A1:B121"/>
  <tableColumns count="2">
    <tableColumn id="1" name="Date"/>
    <tableColumn id="2" name="Description"/>
  </tableColumns>
</tabl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hyperlink" Target="mailto:physical-nic-dedicated-to-dvs@value%3Dvmnic1" TargetMode="External"/><Relationship Id="rId2" Type="http://schemas.openxmlformats.org/officeDocument/2006/relationships/hyperlink" Target="mailto:physical-nic-dedicated-to-dvs@value%3Dvmnic1" TargetMode="External"/>
</Relationships>
</file>

<file path=xl/worksheets/_rels/sheet8.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P599"/>
  <sheetViews>
    <sheetView showFormulas="false" showGridLines="true" showRowColHeaders="true" showZeros="true" rightToLeft="false" tabSelected="true" showOutlineSymbols="true" defaultGridColor="true" view="normal" topLeftCell="A1" colorId="64" zoomScale="115" zoomScaleNormal="115" zoomScalePageLayoutView="100" workbookViewId="0">
      <pane xSplit="0" ySplit="4" topLeftCell="A5" activePane="bottomLeft" state="frozen"/>
      <selection pane="topLeft" activeCell="A1" activeCellId="0" sqref="A1"/>
      <selection pane="bottomLeft" activeCell="C11" activeCellId="0" sqref="C11"/>
    </sheetView>
  </sheetViews>
  <sheetFormatPr defaultColWidth="11.34375" defaultRowHeight="14" zeroHeight="false" outlineLevelRow="0" outlineLevelCol="0"/>
  <cols>
    <col collapsed="false" customWidth="true" hidden="false" outlineLevel="0" max="1" min="1" style="1" width="1.16"/>
    <col collapsed="false" customWidth="true" hidden="false" outlineLevel="0" max="2" min="2" style="1" width="78.84"/>
    <col collapsed="false" customWidth="true" hidden="false" outlineLevel="0" max="3" min="3" style="2" width="13.83"/>
    <col collapsed="false" customWidth="true" hidden="false" outlineLevel="0" max="5" min="4" style="1" width="52.85"/>
    <col collapsed="false" customWidth="true" hidden="false" outlineLevel="0" max="6" min="6" style="1" width="1"/>
    <col collapsed="false" customWidth="true" hidden="false" outlineLevel="0" max="7" min="7" style="1" width="7.83"/>
    <col collapsed="false" customWidth="true" hidden="false" outlineLevel="0" max="8" min="8" style="3" width="20.64"/>
    <col collapsed="false" customWidth="false" hidden="false" outlineLevel="0" max="16" min="9" style="3" width="11.33"/>
    <col collapsed="false" customWidth="false" hidden="false" outlineLevel="0" max="257" min="17" style="1" width="11.33"/>
    <col collapsed="false" customWidth="true" hidden="false" outlineLevel="0" max="258" min="258" style="1" width="83.67"/>
    <col collapsed="false" customWidth="true" hidden="false" outlineLevel="0" max="259" min="259" style="1" width="10.65"/>
    <col collapsed="false" customWidth="true" hidden="false" outlineLevel="0" max="260" min="260" style="1" width="50.67"/>
    <col collapsed="false" customWidth="true" hidden="false" outlineLevel="0" max="261" min="261" style="1" width="30.66"/>
    <col collapsed="false" customWidth="true" hidden="false" outlineLevel="0" max="263" min="262" style="1" width="10.65"/>
    <col collapsed="false" customWidth="true" hidden="false" outlineLevel="0" max="264" min="264" style="1" width="20.64"/>
    <col collapsed="false" customWidth="false" hidden="false" outlineLevel="0" max="513" min="265" style="1" width="11.33"/>
    <col collapsed="false" customWidth="true" hidden="false" outlineLevel="0" max="514" min="514" style="1" width="83.67"/>
    <col collapsed="false" customWidth="true" hidden="false" outlineLevel="0" max="515" min="515" style="1" width="10.65"/>
    <col collapsed="false" customWidth="true" hidden="false" outlineLevel="0" max="516" min="516" style="1" width="50.67"/>
    <col collapsed="false" customWidth="true" hidden="false" outlineLevel="0" max="517" min="517" style="1" width="30.66"/>
    <col collapsed="false" customWidth="true" hidden="false" outlineLevel="0" max="519" min="518" style="1" width="10.65"/>
    <col collapsed="false" customWidth="true" hidden="false" outlineLevel="0" max="520" min="520" style="1" width="20.64"/>
    <col collapsed="false" customWidth="false" hidden="false" outlineLevel="0" max="769" min="521" style="1" width="11.33"/>
    <col collapsed="false" customWidth="true" hidden="false" outlineLevel="0" max="770" min="770" style="1" width="83.67"/>
    <col collapsed="false" customWidth="true" hidden="false" outlineLevel="0" max="771" min="771" style="1" width="10.65"/>
    <col collapsed="false" customWidth="true" hidden="false" outlineLevel="0" max="772" min="772" style="1" width="50.67"/>
    <col collapsed="false" customWidth="true" hidden="false" outlineLevel="0" max="773" min="773" style="1" width="30.66"/>
    <col collapsed="false" customWidth="true" hidden="false" outlineLevel="0" max="775" min="774" style="1" width="10.65"/>
    <col collapsed="false" customWidth="true" hidden="false" outlineLevel="0" max="776" min="776" style="1" width="20.64"/>
    <col collapsed="false" customWidth="false" hidden="false" outlineLevel="0" max="1024" min="777" style="1" width="11.33"/>
  </cols>
  <sheetData>
    <row r="1" s="4" customFormat="true" ht="48" hidden="false" customHeight="true" outlineLevel="0" collapsed="false">
      <c r="B1" s="5"/>
      <c r="F1" s="6"/>
      <c r="H1" s="6"/>
      <c r="I1" s="6"/>
      <c r="J1" s="6"/>
      <c r="K1" s="6"/>
      <c r="L1" s="6"/>
      <c r="M1" s="6"/>
      <c r="N1" s="6"/>
      <c r="O1" s="6"/>
      <c r="P1" s="6"/>
    </row>
    <row r="2" s="4" customFormat="true" ht="3" hidden="false" customHeight="true" outlineLevel="0" collapsed="false">
      <c r="B2" s="5"/>
      <c r="F2" s="6"/>
      <c r="H2" s="6"/>
      <c r="I2" s="6"/>
      <c r="J2" s="6"/>
      <c r="K2" s="6"/>
      <c r="L2" s="6"/>
      <c r="M2" s="6"/>
      <c r="N2" s="6"/>
      <c r="O2" s="6"/>
      <c r="P2" s="6"/>
    </row>
    <row r="3" s="4" customFormat="true" ht="45" hidden="false" customHeight="true" outlineLevel="0" collapsed="false">
      <c r="B3" s="7" t="s">
        <v>0</v>
      </c>
      <c r="C3" s="7"/>
      <c r="D3" s="7"/>
      <c r="E3" s="7"/>
      <c r="F3" s="8"/>
      <c r="G3" s="9" t="s">
        <v>1</v>
      </c>
      <c r="H3" s="6"/>
      <c r="I3" s="6"/>
      <c r="J3" s="6"/>
      <c r="K3" s="6"/>
      <c r="L3" s="6"/>
      <c r="M3" s="6"/>
      <c r="N3" s="6"/>
      <c r="O3" s="6"/>
      <c r="P3" s="6"/>
    </row>
    <row r="4" s="4" customFormat="true" ht="3" hidden="false" customHeight="true" outlineLevel="0" collapsed="false">
      <c r="B4" s="5"/>
      <c r="H4" s="6"/>
      <c r="I4" s="6"/>
      <c r="J4" s="6"/>
      <c r="K4" s="6"/>
      <c r="L4" s="6"/>
      <c r="M4" s="6"/>
      <c r="N4" s="6"/>
      <c r="O4" s="6"/>
      <c r="P4" s="6"/>
    </row>
    <row r="5" s="3" customFormat="true" ht="24" hidden="false" customHeight="true" outlineLevel="0" collapsed="false">
      <c r="B5" s="10" t="s">
        <v>2</v>
      </c>
      <c r="C5" s="11" t="s">
        <v>3</v>
      </c>
      <c r="D5" s="12" t="s">
        <v>4</v>
      </c>
      <c r="E5" s="13" t="s">
        <v>5</v>
      </c>
      <c r="F5" s="13"/>
      <c r="G5" s="13"/>
    </row>
    <row r="6" s="3" customFormat="true" ht="21" hidden="false" customHeight="false" outlineLevel="0" collapsed="false">
      <c r="B6" s="14" t="s">
        <v>6</v>
      </c>
      <c r="C6" s="15"/>
      <c r="D6" s="16"/>
      <c r="E6" s="17"/>
      <c r="F6" s="17"/>
      <c r="G6" s="17"/>
    </row>
    <row r="7" s="3" customFormat="true" ht="23.85" hidden="false" customHeight="true" outlineLevel="0" collapsed="false">
      <c r="B7" s="18" t="s">
        <v>7</v>
      </c>
      <c r="C7" s="19" t="s">
        <v>8</v>
      </c>
      <c r="D7" s="20"/>
      <c r="E7" s="21" t="s">
        <v>9</v>
      </c>
      <c r="F7" s="21"/>
      <c r="G7" s="21"/>
    </row>
    <row r="8" s="3" customFormat="true" ht="79.85" hidden="false" customHeight="true" outlineLevel="0" collapsed="false">
      <c r="B8" s="22" t="s">
        <v>10</v>
      </c>
      <c r="C8" s="23" t="s">
        <v>8</v>
      </c>
      <c r="D8" s="24"/>
      <c r="E8" s="25" t="s">
        <v>11</v>
      </c>
      <c r="F8" s="25"/>
      <c r="G8" s="25"/>
    </row>
    <row r="9" s="3" customFormat="true" ht="13.2" hidden="false" customHeight="false" outlineLevel="0" collapsed="false">
      <c r="B9" s="18" t="s">
        <v>12</v>
      </c>
      <c r="C9" s="19" t="s">
        <v>8</v>
      </c>
      <c r="D9" s="20"/>
      <c r="E9" s="21"/>
      <c r="F9" s="21"/>
      <c r="G9" s="21"/>
    </row>
    <row r="10" s="3" customFormat="true" ht="21" hidden="false" customHeight="false" outlineLevel="0" collapsed="false">
      <c r="B10" s="14" t="s">
        <v>13</v>
      </c>
      <c r="C10" s="15"/>
      <c r="D10" s="26"/>
      <c r="E10" s="27"/>
      <c r="F10" s="27"/>
      <c r="G10" s="27"/>
    </row>
    <row r="11" s="3" customFormat="true" ht="70" hidden="false" customHeight="false" outlineLevel="0" collapsed="false">
      <c r="B11" s="28" t="s">
        <v>14</v>
      </c>
      <c r="C11" s="29"/>
      <c r="D11" s="30"/>
      <c r="E11" s="31"/>
      <c r="F11" s="31"/>
      <c r="G11" s="31"/>
    </row>
    <row r="12" s="3" customFormat="true" ht="6" hidden="false" customHeight="true" outlineLevel="0" collapsed="false">
      <c r="B12" s="32"/>
      <c r="C12" s="33"/>
      <c r="D12" s="34"/>
      <c r="E12" s="34"/>
      <c r="F12" s="34"/>
      <c r="G12" s="35"/>
    </row>
    <row r="13" s="3" customFormat="true" ht="14" hidden="false" customHeight="false" outlineLevel="0" collapsed="false">
      <c r="C13" s="36"/>
    </row>
    <row r="14" s="3" customFormat="true" ht="14" hidden="false" customHeight="false" outlineLevel="0" collapsed="false">
      <c r="C14" s="36"/>
    </row>
    <row r="15" s="3" customFormat="true" ht="14" hidden="false" customHeight="false" outlineLevel="0" collapsed="false">
      <c r="C15" s="36"/>
    </row>
    <row r="16" s="3" customFormat="true" ht="14" hidden="false" customHeight="false" outlineLevel="0" collapsed="false">
      <c r="C16" s="36"/>
    </row>
    <row r="17" s="3" customFormat="true" ht="14" hidden="false" customHeight="false" outlineLevel="0" collapsed="false">
      <c r="C17" s="36"/>
    </row>
    <row r="18" s="3" customFormat="true" ht="14" hidden="false" customHeight="false" outlineLevel="0" collapsed="false">
      <c r="C18" s="36"/>
    </row>
    <row r="19" s="3" customFormat="true" ht="14" hidden="false" customHeight="false" outlineLevel="0" collapsed="false">
      <c r="C19" s="36"/>
    </row>
    <row r="20" s="3" customFormat="true" ht="14" hidden="false" customHeight="false" outlineLevel="0" collapsed="false">
      <c r="C20" s="36"/>
    </row>
    <row r="21" s="3" customFormat="true" ht="14" hidden="false" customHeight="false" outlineLevel="0" collapsed="false">
      <c r="C21" s="36"/>
    </row>
    <row r="22" s="3" customFormat="true" ht="14" hidden="false" customHeight="false" outlineLevel="0" collapsed="false">
      <c r="C22" s="36"/>
    </row>
    <row r="23" s="3" customFormat="true" ht="14" hidden="false" customHeight="false" outlineLevel="0" collapsed="false">
      <c r="C23" s="36"/>
    </row>
    <row r="24" s="3" customFormat="true" ht="14" hidden="false" customHeight="false" outlineLevel="0" collapsed="false">
      <c r="C24" s="36"/>
    </row>
    <row r="25" s="3" customFormat="true" ht="14" hidden="false" customHeight="false" outlineLevel="0" collapsed="false">
      <c r="C25" s="36"/>
    </row>
    <row r="26" s="3" customFormat="true" ht="14" hidden="false" customHeight="false" outlineLevel="0" collapsed="false">
      <c r="C26" s="36"/>
    </row>
    <row r="27" s="3" customFormat="true" ht="14" hidden="false" customHeight="false" outlineLevel="0" collapsed="false">
      <c r="C27" s="36"/>
    </row>
    <row r="28" s="3" customFormat="true" ht="14" hidden="false" customHeight="false" outlineLevel="0" collapsed="false">
      <c r="C28" s="36"/>
    </row>
    <row r="29" s="3" customFormat="true" ht="14" hidden="false" customHeight="false" outlineLevel="0" collapsed="false">
      <c r="C29" s="36"/>
    </row>
    <row r="30" s="3" customFormat="true" ht="14" hidden="false" customHeight="false" outlineLevel="0" collapsed="false">
      <c r="C30" s="36"/>
    </row>
    <row r="31" s="3" customFormat="true" ht="14" hidden="false" customHeight="false" outlineLevel="0" collapsed="false">
      <c r="C31" s="36"/>
    </row>
    <row r="32" s="3" customFormat="true" ht="14" hidden="false" customHeight="false" outlineLevel="0" collapsed="false">
      <c r="C32" s="36"/>
    </row>
    <row r="33" s="3" customFormat="true" ht="14" hidden="false" customHeight="false" outlineLevel="0" collapsed="false">
      <c r="C33" s="36"/>
    </row>
    <row r="34" s="3" customFormat="true" ht="14" hidden="false" customHeight="false" outlineLevel="0" collapsed="false">
      <c r="C34" s="36"/>
    </row>
    <row r="35" s="3" customFormat="true" ht="14" hidden="false" customHeight="false" outlineLevel="0" collapsed="false">
      <c r="C35" s="36"/>
    </row>
    <row r="36" s="3" customFormat="true" ht="14" hidden="false" customHeight="false" outlineLevel="0" collapsed="false">
      <c r="C36" s="36"/>
    </row>
    <row r="37" s="3" customFormat="true" ht="14" hidden="false" customHeight="false" outlineLevel="0" collapsed="false">
      <c r="C37" s="36"/>
    </row>
    <row r="38" s="3" customFormat="true" ht="14" hidden="false" customHeight="false" outlineLevel="0" collapsed="false">
      <c r="C38" s="36"/>
    </row>
    <row r="39" s="3" customFormat="true" ht="14" hidden="false" customHeight="false" outlineLevel="0" collapsed="false">
      <c r="C39" s="36"/>
    </row>
    <row r="40" s="3" customFormat="true" ht="14" hidden="false" customHeight="false" outlineLevel="0" collapsed="false">
      <c r="C40" s="36"/>
    </row>
    <row r="41" s="3" customFormat="true" ht="14" hidden="false" customHeight="false" outlineLevel="0" collapsed="false">
      <c r="C41" s="36"/>
    </row>
    <row r="42" s="3" customFormat="true" ht="14" hidden="false" customHeight="false" outlineLevel="0" collapsed="false">
      <c r="C42" s="36"/>
    </row>
    <row r="43" s="3" customFormat="true" ht="14" hidden="false" customHeight="false" outlineLevel="0" collapsed="false">
      <c r="C43" s="36"/>
    </row>
    <row r="44" s="3" customFormat="true" ht="14" hidden="false" customHeight="false" outlineLevel="0" collapsed="false">
      <c r="C44" s="36"/>
    </row>
    <row r="45" s="3" customFormat="true" ht="14" hidden="false" customHeight="false" outlineLevel="0" collapsed="false">
      <c r="C45" s="36"/>
    </row>
    <row r="46" s="3" customFormat="true" ht="14" hidden="false" customHeight="false" outlineLevel="0" collapsed="false">
      <c r="C46" s="36"/>
    </row>
    <row r="47" s="3" customFormat="true" ht="14" hidden="false" customHeight="false" outlineLevel="0" collapsed="false">
      <c r="C47" s="36"/>
    </row>
    <row r="48" s="3" customFormat="true" ht="14" hidden="false" customHeight="false" outlineLevel="0" collapsed="false">
      <c r="C48" s="36"/>
    </row>
    <row r="49" s="3" customFormat="true" ht="14" hidden="false" customHeight="false" outlineLevel="0" collapsed="false">
      <c r="C49" s="36"/>
    </row>
    <row r="50" s="3" customFormat="true" ht="14" hidden="false" customHeight="false" outlineLevel="0" collapsed="false">
      <c r="C50" s="36"/>
    </row>
    <row r="51" s="3" customFormat="true" ht="14" hidden="false" customHeight="false" outlineLevel="0" collapsed="false">
      <c r="C51" s="36"/>
    </row>
    <row r="52" s="3" customFormat="true" ht="14" hidden="false" customHeight="false" outlineLevel="0" collapsed="false">
      <c r="C52" s="36"/>
    </row>
    <row r="53" s="3" customFormat="true" ht="14" hidden="false" customHeight="false" outlineLevel="0" collapsed="false">
      <c r="C53" s="36"/>
    </row>
    <row r="54" s="3" customFormat="true" ht="14" hidden="false" customHeight="false" outlineLevel="0" collapsed="false">
      <c r="C54" s="36"/>
    </row>
    <row r="55" s="3" customFormat="true" ht="14" hidden="false" customHeight="false" outlineLevel="0" collapsed="false">
      <c r="C55" s="36"/>
    </row>
    <row r="56" s="3" customFormat="true" ht="14" hidden="false" customHeight="false" outlineLevel="0" collapsed="false">
      <c r="C56" s="36"/>
    </row>
    <row r="57" s="3" customFormat="true" ht="14" hidden="false" customHeight="false" outlineLevel="0" collapsed="false">
      <c r="C57" s="36"/>
    </row>
    <row r="58" s="3" customFormat="true" ht="14" hidden="false" customHeight="false" outlineLevel="0" collapsed="false">
      <c r="C58" s="36"/>
    </row>
    <row r="59" s="3" customFormat="true" ht="14" hidden="false" customHeight="false" outlineLevel="0" collapsed="false">
      <c r="C59" s="36"/>
    </row>
    <row r="60" s="3" customFormat="true" ht="14" hidden="false" customHeight="false" outlineLevel="0" collapsed="false">
      <c r="C60" s="36"/>
    </row>
    <row r="61" s="3" customFormat="true" ht="14" hidden="false" customHeight="false" outlineLevel="0" collapsed="false">
      <c r="C61" s="36"/>
    </row>
    <row r="62" s="3" customFormat="true" ht="14" hidden="false" customHeight="false" outlineLevel="0" collapsed="false">
      <c r="C62" s="36"/>
    </row>
    <row r="63" s="3" customFormat="true" ht="14" hidden="false" customHeight="false" outlineLevel="0" collapsed="false">
      <c r="C63" s="36"/>
    </row>
    <row r="64" s="3" customFormat="true" ht="14" hidden="false" customHeight="false" outlineLevel="0" collapsed="false">
      <c r="C64" s="36"/>
    </row>
    <row r="65" s="3" customFormat="true" ht="14" hidden="false" customHeight="false" outlineLevel="0" collapsed="false">
      <c r="C65" s="36"/>
    </row>
    <row r="66" s="3" customFormat="true" ht="14" hidden="false" customHeight="false" outlineLevel="0" collapsed="false">
      <c r="C66" s="36"/>
    </row>
    <row r="67" s="3" customFormat="true" ht="14" hidden="false" customHeight="false" outlineLevel="0" collapsed="false">
      <c r="C67" s="36"/>
    </row>
    <row r="68" s="3" customFormat="true" ht="14" hidden="false" customHeight="false" outlineLevel="0" collapsed="false">
      <c r="C68" s="36"/>
    </row>
    <row r="69" s="3" customFormat="true" ht="14" hidden="false" customHeight="false" outlineLevel="0" collapsed="false">
      <c r="C69" s="36"/>
    </row>
    <row r="70" s="3" customFormat="true" ht="14" hidden="false" customHeight="false" outlineLevel="0" collapsed="false">
      <c r="C70" s="36"/>
    </row>
    <row r="71" s="3" customFormat="true" ht="14" hidden="false" customHeight="false" outlineLevel="0" collapsed="false">
      <c r="C71" s="36"/>
    </row>
    <row r="72" s="3" customFormat="true" ht="14" hidden="false" customHeight="false" outlineLevel="0" collapsed="false">
      <c r="C72" s="36"/>
    </row>
    <row r="73" s="3" customFormat="true" ht="14" hidden="false" customHeight="false" outlineLevel="0" collapsed="false">
      <c r="C73" s="36"/>
    </row>
    <row r="74" s="3" customFormat="true" ht="14" hidden="false" customHeight="false" outlineLevel="0" collapsed="false">
      <c r="C74" s="36"/>
    </row>
    <row r="75" s="3" customFormat="true" ht="14" hidden="false" customHeight="false" outlineLevel="0" collapsed="false">
      <c r="C75" s="36"/>
    </row>
    <row r="76" s="3" customFormat="true" ht="14" hidden="false" customHeight="false" outlineLevel="0" collapsed="false">
      <c r="C76" s="36"/>
    </row>
    <row r="77" s="3" customFormat="true" ht="14" hidden="false" customHeight="false" outlineLevel="0" collapsed="false">
      <c r="C77" s="36"/>
    </row>
    <row r="78" s="3" customFormat="true" ht="14" hidden="false" customHeight="false" outlineLevel="0" collapsed="false">
      <c r="C78" s="36"/>
    </row>
    <row r="79" s="3" customFormat="true" ht="14" hidden="false" customHeight="false" outlineLevel="0" collapsed="false">
      <c r="C79" s="36"/>
    </row>
    <row r="80" s="3" customFormat="true" ht="14" hidden="false" customHeight="false" outlineLevel="0" collapsed="false">
      <c r="C80" s="36"/>
    </row>
    <row r="81" s="3" customFormat="true" ht="14" hidden="false" customHeight="false" outlineLevel="0" collapsed="false">
      <c r="C81" s="36"/>
    </row>
    <row r="82" s="3" customFormat="true" ht="14" hidden="false" customHeight="false" outlineLevel="0" collapsed="false">
      <c r="C82" s="36"/>
    </row>
    <row r="83" s="3" customFormat="true" ht="14" hidden="false" customHeight="false" outlineLevel="0" collapsed="false">
      <c r="C83" s="36"/>
    </row>
    <row r="84" s="3" customFormat="true" ht="14" hidden="false" customHeight="false" outlineLevel="0" collapsed="false">
      <c r="C84" s="36"/>
    </row>
    <row r="85" s="3" customFormat="true" ht="14" hidden="false" customHeight="false" outlineLevel="0" collapsed="false">
      <c r="C85" s="36"/>
    </row>
    <row r="86" s="3" customFormat="true" ht="14" hidden="false" customHeight="false" outlineLevel="0" collapsed="false">
      <c r="C86" s="36"/>
    </row>
    <row r="87" s="3" customFormat="true" ht="14" hidden="false" customHeight="false" outlineLevel="0" collapsed="false">
      <c r="C87" s="36"/>
    </row>
    <row r="88" s="3" customFormat="true" ht="14" hidden="false" customHeight="false" outlineLevel="0" collapsed="false">
      <c r="C88" s="36"/>
    </row>
    <row r="89" s="3" customFormat="true" ht="14" hidden="false" customHeight="false" outlineLevel="0" collapsed="false">
      <c r="C89" s="36"/>
    </row>
    <row r="90" s="3" customFormat="true" ht="14" hidden="false" customHeight="false" outlineLevel="0" collapsed="false">
      <c r="C90" s="36"/>
    </row>
    <row r="91" s="3" customFormat="true" ht="14" hidden="false" customHeight="false" outlineLevel="0" collapsed="false">
      <c r="C91" s="36"/>
    </row>
    <row r="92" s="3" customFormat="true" ht="14" hidden="false" customHeight="false" outlineLevel="0" collapsed="false">
      <c r="C92" s="36"/>
    </row>
    <row r="93" s="3" customFormat="true" ht="14" hidden="false" customHeight="false" outlineLevel="0" collapsed="false">
      <c r="C93" s="36"/>
    </row>
    <row r="94" s="3" customFormat="true" ht="14" hidden="false" customHeight="false" outlineLevel="0" collapsed="false">
      <c r="C94" s="36"/>
    </row>
    <row r="95" s="3" customFormat="true" ht="14" hidden="false" customHeight="false" outlineLevel="0" collapsed="false">
      <c r="C95" s="36"/>
    </row>
    <row r="96" s="3" customFormat="true" ht="14" hidden="false" customHeight="false" outlineLevel="0" collapsed="false">
      <c r="C96" s="36"/>
    </row>
    <row r="97" s="3" customFormat="true" ht="14" hidden="false" customHeight="false" outlineLevel="0" collapsed="false">
      <c r="C97" s="36"/>
    </row>
    <row r="98" s="3" customFormat="true" ht="14" hidden="false" customHeight="false" outlineLevel="0" collapsed="false">
      <c r="C98" s="36"/>
    </row>
    <row r="99" s="3" customFormat="true" ht="14" hidden="false" customHeight="false" outlineLevel="0" collapsed="false">
      <c r="C99" s="36"/>
    </row>
    <row r="100" s="3" customFormat="true" ht="14" hidden="false" customHeight="false" outlineLevel="0" collapsed="false">
      <c r="C100" s="36"/>
    </row>
    <row r="101" s="3" customFormat="true" ht="14" hidden="false" customHeight="false" outlineLevel="0" collapsed="false">
      <c r="C101" s="36"/>
    </row>
    <row r="102" s="3" customFormat="true" ht="14" hidden="false" customHeight="false" outlineLevel="0" collapsed="false">
      <c r="C102" s="36"/>
    </row>
    <row r="103" s="3" customFormat="true" ht="14" hidden="false" customHeight="false" outlineLevel="0" collapsed="false">
      <c r="C103" s="36"/>
    </row>
    <row r="104" s="3" customFormat="true" ht="14" hidden="false" customHeight="false" outlineLevel="0" collapsed="false">
      <c r="C104" s="36"/>
    </row>
    <row r="105" s="3" customFormat="true" ht="14" hidden="false" customHeight="false" outlineLevel="0" collapsed="false">
      <c r="C105" s="36"/>
    </row>
    <row r="106" s="3" customFormat="true" ht="14" hidden="false" customHeight="false" outlineLevel="0" collapsed="false">
      <c r="C106" s="36"/>
    </row>
    <row r="107" s="3" customFormat="true" ht="14" hidden="false" customHeight="false" outlineLevel="0" collapsed="false">
      <c r="C107" s="36"/>
    </row>
    <row r="108" s="3" customFormat="true" ht="14" hidden="false" customHeight="false" outlineLevel="0" collapsed="false">
      <c r="C108" s="36"/>
    </row>
    <row r="109" s="3" customFormat="true" ht="14" hidden="false" customHeight="false" outlineLevel="0" collapsed="false">
      <c r="C109" s="36"/>
    </row>
    <row r="110" s="3" customFormat="true" ht="14" hidden="false" customHeight="false" outlineLevel="0" collapsed="false">
      <c r="C110" s="36"/>
    </row>
    <row r="111" s="3" customFormat="true" ht="14" hidden="false" customHeight="false" outlineLevel="0" collapsed="false">
      <c r="C111" s="36"/>
    </row>
    <row r="112" s="3" customFormat="true" ht="14" hidden="false" customHeight="false" outlineLevel="0" collapsed="false">
      <c r="C112" s="36"/>
    </row>
    <row r="113" s="3" customFormat="true" ht="14" hidden="false" customHeight="false" outlineLevel="0" collapsed="false">
      <c r="C113" s="36"/>
    </row>
    <row r="114" s="3" customFormat="true" ht="14" hidden="false" customHeight="false" outlineLevel="0" collapsed="false">
      <c r="C114" s="36"/>
    </row>
    <row r="115" s="3" customFormat="true" ht="14" hidden="false" customHeight="false" outlineLevel="0" collapsed="false">
      <c r="C115" s="36"/>
    </row>
    <row r="116" s="3" customFormat="true" ht="14" hidden="false" customHeight="false" outlineLevel="0" collapsed="false">
      <c r="C116" s="36"/>
    </row>
    <row r="117" s="3" customFormat="true" ht="14" hidden="false" customHeight="false" outlineLevel="0" collapsed="false">
      <c r="C117" s="36"/>
    </row>
    <row r="118" s="3" customFormat="true" ht="14" hidden="false" customHeight="false" outlineLevel="0" collapsed="false">
      <c r="C118" s="36"/>
    </row>
    <row r="119" s="3" customFormat="true" ht="14" hidden="false" customHeight="false" outlineLevel="0" collapsed="false">
      <c r="C119" s="36"/>
    </row>
    <row r="120" s="3" customFormat="true" ht="14" hidden="false" customHeight="false" outlineLevel="0" collapsed="false">
      <c r="C120" s="36"/>
    </row>
    <row r="121" s="3" customFormat="true" ht="14" hidden="false" customHeight="false" outlineLevel="0" collapsed="false">
      <c r="C121" s="36"/>
    </row>
    <row r="122" s="3" customFormat="true" ht="14" hidden="false" customHeight="false" outlineLevel="0" collapsed="false">
      <c r="C122" s="36"/>
    </row>
    <row r="123" s="3" customFormat="true" ht="14" hidden="false" customHeight="false" outlineLevel="0" collapsed="false">
      <c r="C123" s="36"/>
    </row>
    <row r="124" s="3" customFormat="true" ht="14" hidden="false" customHeight="false" outlineLevel="0" collapsed="false">
      <c r="C124" s="36"/>
    </row>
    <row r="125" s="3" customFormat="true" ht="14" hidden="false" customHeight="false" outlineLevel="0" collapsed="false">
      <c r="C125" s="36"/>
    </row>
    <row r="126" s="3" customFormat="true" ht="14" hidden="false" customHeight="false" outlineLevel="0" collapsed="false">
      <c r="C126" s="36"/>
    </row>
    <row r="127" s="3" customFormat="true" ht="14" hidden="false" customHeight="false" outlineLevel="0" collapsed="false">
      <c r="C127" s="36"/>
    </row>
    <row r="128" s="3" customFormat="true" ht="14" hidden="false" customHeight="false" outlineLevel="0" collapsed="false">
      <c r="C128" s="36"/>
    </row>
    <row r="129" s="3" customFormat="true" ht="14" hidden="false" customHeight="false" outlineLevel="0" collapsed="false">
      <c r="C129" s="36"/>
    </row>
    <row r="130" s="3" customFormat="true" ht="14" hidden="false" customHeight="false" outlineLevel="0" collapsed="false">
      <c r="C130" s="36"/>
    </row>
    <row r="131" s="3" customFormat="true" ht="14" hidden="false" customHeight="false" outlineLevel="0" collapsed="false">
      <c r="C131" s="36"/>
    </row>
    <row r="132" s="3" customFormat="true" ht="14" hidden="false" customHeight="false" outlineLevel="0" collapsed="false">
      <c r="C132" s="36"/>
    </row>
    <row r="133" s="3" customFormat="true" ht="14" hidden="false" customHeight="false" outlineLevel="0" collapsed="false">
      <c r="C133" s="36"/>
    </row>
    <row r="134" s="3" customFormat="true" ht="14" hidden="false" customHeight="false" outlineLevel="0" collapsed="false">
      <c r="C134" s="36"/>
    </row>
    <row r="135" s="3" customFormat="true" ht="14" hidden="false" customHeight="false" outlineLevel="0" collapsed="false">
      <c r="C135" s="36"/>
    </row>
    <row r="136" s="3" customFormat="true" ht="14" hidden="false" customHeight="false" outlineLevel="0" collapsed="false">
      <c r="C136" s="36"/>
    </row>
    <row r="137" s="3" customFormat="true" ht="14" hidden="false" customHeight="false" outlineLevel="0" collapsed="false">
      <c r="C137" s="36"/>
    </row>
    <row r="138" s="3" customFormat="true" ht="14" hidden="false" customHeight="false" outlineLevel="0" collapsed="false">
      <c r="C138" s="36"/>
    </row>
    <row r="139" s="3" customFormat="true" ht="14" hidden="false" customHeight="false" outlineLevel="0" collapsed="false">
      <c r="C139" s="36"/>
    </row>
    <row r="140" s="3" customFormat="true" ht="14" hidden="false" customHeight="false" outlineLevel="0" collapsed="false">
      <c r="C140" s="36"/>
    </row>
    <row r="141" s="3" customFormat="true" ht="14" hidden="false" customHeight="false" outlineLevel="0" collapsed="false">
      <c r="C141" s="36"/>
    </row>
    <row r="142" s="3" customFormat="true" ht="14" hidden="false" customHeight="false" outlineLevel="0" collapsed="false">
      <c r="C142" s="36"/>
    </row>
    <row r="143" s="3" customFormat="true" ht="14" hidden="false" customHeight="false" outlineLevel="0" collapsed="false">
      <c r="C143" s="36"/>
    </row>
    <row r="144" s="3" customFormat="true" ht="14" hidden="false" customHeight="false" outlineLevel="0" collapsed="false">
      <c r="C144" s="36"/>
    </row>
    <row r="145" s="3" customFormat="true" ht="14" hidden="false" customHeight="false" outlineLevel="0" collapsed="false">
      <c r="C145" s="36"/>
    </row>
    <row r="146" s="3" customFormat="true" ht="14" hidden="false" customHeight="false" outlineLevel="0" collapsed="false">
      <c r="C146" s="36"/>
    </row>
    <row r="147" s="3" customFormat="true" ht="14" hidden="false" customHeight="false" outlineLevel="0" collapsed="false">
      <c r="C147" s="36"/>
    </row>
    <row r="148" s="3" customFormat="true" ht="14" hidden="false" customHeight="false" outlineLevel="0" collapsed="false">
      <c r="C148" s="36"/>
    </row>
    <row r="149" s="3" customFormat="true" ht="14" hidden="false" customHeight="false" outlineLevel="0" collapsed="false">
      <c r="C149" s="36"/>
    </row>
    <row r="150" s="3" customFormat="true" ht="14" hidden="false" customHeight="false" outlineLevel="0" collapsed="false">
      <c r="C150" s="36"/>
    </row>
    <row r="151" s="3" customFormat="true" ht="14" hidden="false" customHeight="false" outlineLevel="0" collapsed="false">
      <c r="C151" s="36"/>
    </row>
    <row r="152" s="3" customFormat="true" ht="14" hidden="false" customHeight="false" outlineLevel="0" collapsed="false">
      <c r="C152" s="36"/>
    </row>
    <row r="153" s="3" customFormat="true" ht="14" hidden="false" customHeight="false" outlineLevel="0" collapsed="false">
      <c r="C153" s="36"/>
    </row>
    <row r="154" s="3" customFormat="true" ht="14" hidden="false" customHeight="false" outlineLevel="0" collapsed="false">
      <c r="C154" s="36"/>
    </row>
    <row r="155" s="3" customFormat="true" ht="14" hidden="false" customHeight="false" outlineLevel="0" collapsed="false">
      <c r="C155" s="36"/>
    </row>
    <row r="156" s="3" customFormat="true" ht="14" hidden="false" customHeight="false" outlineLevel="0" collapsed="false">
      <c r="C156" s="36"/>
    </row>
    <row r="157" s="3" customFormat="true" ht="14" hidden="false" customHeight="false" outlineLevel="0" collapsed="false">
      <c r="C157" s="36"/>
    </row>
    <row r="158" s="3" customFormat="true" ht="14" hidden="false" customHeight="false" outlineLevel="0" collapsed="false">
      <c r="C158" s="36"/>
    </row>
    <row r="159" s="3" customFormat="true" ht="14" hidden="false" customHeight="false" outlineLevel="0" collapsed="false">
      <c r="C159" s="36"/>
    </row>
    <row r="160" s="3" customFormat="true" ht="14" hidden="false" customHeight="false" outlineLevel="0" collapsed="false">
      <c r="C160" s="36"/>
    </row>
    <row r="161" s="3" customFormat="true" ht="14" hidden="false" customHeight="false" outlineLevel="0" collapsed="false">
      <c r="C161" s="36"/>
    </row>
    <row r="162" s="3" customFormat="true" ht="14" hidden="false" customHeight="false" outlineLevel="0" collapsed="false">
      <c r="C162" s="36"/>
    </row>
    <row r="163" s="3" customFormat="true" ht="14" hidden="false" customHeight="false" outlineLevel="0" collapsed="false">
      <c r="C163" s="36"/>
    </row>
    <row r="164" s="3" customFormat="true" ht="14" hidden="false" customHeight="false" outlineLevel="0" collapsed="false">
      <c r="C164" s="36"/>
    </row>
    <row r="165" s="3" customFormat="true" ht="14" hidden="false" customHeight="false" outlineLevel="0" collapsed="false">
      <c r="C165" s="36"/>
    </row>
    <row r="166" s="3" customFormat="true" ht="14" hidden="false" customHeight="false" outlineLevel="0" collapsed="false">
      <c r="C166" s="36"/>
    </row>
    <row r="167" s="3" customFormat="true" ht="14" hidden="false" customHeight="false" outlineLevel="0" collapsed="false">
      <c r="C167" s="36"/>
    </row>
    <row r="168" s="3" customFormat="true" ht="14" hidden="false" customHeight="false" outlineLevel="0" collapsed="false">
      <c r="C168" s="36"/>
    </row>
    <row r="169" s="3" customFormat="true" ht="14" hidden="false" customHeight="false" outlineLevel="0" collapsed="false">
      <c r="C169" s="36"/>
    </row>
    <row r="170" s="3" customFormat="true" ht="14" hidden="false" customHeight="false" outlineLevel="0" collapsed="false">
      <c r="C170" s="36"/>
    </row>
    <row r="171" s="3" customFormat="true" ht="14" hidden="false" customHeight="false" outlineLevel="0" collapsed="false">
      <c r="C171" s="36"/>
    </row>
    <row r="172" s="3" customFormat="true" ht="14" hidden="false" customHeight="false" outlineLevel="0" collapsed="false">
      <c r="C172" s="36"/>
    </row>
    <row r="173" s="3" customFormat="true" ht="14" hidden="false" customHeight="false" outlineLevel="0" collapsed="false">
      <c r="C173" s="36"/>
    </row>
    <row r="174" s="3" customFormat="true" ht="14" hidden="false" customHeight="false" outlineLevel="0" collapsed="false">
      <c r="C174" s="36"/>
    </row>
    <row r="175" s="3" customFormat="true" ht="14" hidden="false" customHeight="false" outlineLevel="0" collapsed="false">
      <c r="C175" s="36"/>
    </row>
    <row r="176" s="3" customFormat="true" ht="14" hidden="false" customHeight="false" outlineLevel="0" collapsed="false">
      <c r="C176" s="36"/>
    </row>
    <row r="177" s="3" customFormat="true" ht="14" hidden="false" customHeight="false" outlineLevel="0" collapsed="false">
      <c r="C177" s="36"/>
    </row>
    <row r="178" s="3" customFormat="true" ht="14" hidden="false" customHeight="false" outlineLevel="0" collapsed="false">
      <c r="C178" s="36"/>
    </row>
    <row r="179" s="3" customFormat="true" ht="14" hidden="false" customHeight="false" outlineLevel="0" collapsed="false">
      <c r="C179" s="36"/>
    </row>
    <row r="180" s="3" customFormat="true" ht="14" hidden="false" customHeight="false" outlineLevel="0" collapsed="false">
      <c r="C180" s="36"/>
    </row>
    <row r="181" s="3" customFormat="true" ht="14" hidden="false" customHeight="false" outlineLevel="0" collapsed="false">
      <c r="C181" s="36"/>
    </row>
    <row r="182" s="3" customFormat="true" ht="14" hidden="false" customHeight="false" outlineLevel="0" collapsed="false">
      <c r="C182" s="36"/>
    </row>
    <row r="183" s="3" customFormat="true" ht="14" hidden="false" customHeight="false" outlineLevel="0" collapsed="false">
      <c r="C183" s="36"/>
    </row>
    <row r="184" s="3" customFormat="true" ht="14" hidden="false" customHeight="false" outlineLevel="0" collapsed="false">
      <c r="C184" s="36"/>
    </row>
    <row r="185" s="3" customFormat="true" ht="14" hidden="false" customHeight="false" outlineLevel="0" collapsed="false">
      <c r="C185" s="36"/>
    </row>
    <row r="186" s="3" customFormat="true" ht="14" hidden="false" customHeight="false" outlineLevel="0" collapsed="false">
      <c r="C186" s="36"/>
    </row>
    <row r="187" s="3" customFormat="true" ht="14" hidden="false" customHeight="false" outlineLevel="0" collapsed="false">
      <c r="C187" s="36"/>
    </row>
    <row r="188" s="3" customFormat="true" ht="14" hidden="false" customHeight="false" outlineLevel="0" collapsed="false">
      <c r="C188" s="36"/>
    </row>
    <row r="189" s="3" customFormat="true" ht="14" hidden="false" customHeight="false" outlineLevel="0" collapsed="false">
      <c r="C189" s="36"/>
    </row>
    <row r="190" s="3" customFormat="true" ht="14" hidden="false" customHeight="false" outlineLevel="0" collapsed="false">
      <c r="C190" s="36"/>
    </row>
    <row r="191" s="3" customFormat="true" ht="14" hidden="false" customHeight="false" outlineLevel="0" collapsed="false">
      <c r="C191" s="36"/>
    </row>
    <row r="192" s="3" customFormat="true" ht="14" hidden="false" customHeight="false" outlineLevel="0" collapsed="false">
      <c r="C192" s="36"/>
    </row>
    <row r="193" s="3" customFormat="true" ht="14" hidden="false" customHeight="false" outlineLevel="0" collapsed="false">
      <c r="C193" s="36"/>
    </row>
    <row r="194" s="3" customFormat="true" ht="14" hidden="false" customHeight="false" outlineLevel="0" collapsed="false">
      <c r="C194" s="36"/>
    </row>
    <row r="195" s="3" customFormat="true" ht="14" hidden="false" customHeight="false" outlineLevel="0" collapsed="false">
      <c r="C195" s="36"/>
    </row>
    <row r="196" s="3" customFormat="true" ht="14" hidden="false" customHeight="false" outlineLevel="0" collapsed="false">
      <c r="C196" s="36"/>
    </row>
    <row r="197" s="3" customFormat="true" ht="14" hidden="false" customHeight="false" outlineLevel="0" collapsed="false">
      <c r="C197" s="36"/>
    </row>
    <row r="198" s="3" customFormat="true" ht="14" hidden="false" customHeight="false" outlineLevel="0" collapsed="false">
      <c r="C198" s="36"/>
    </row>
    <row r="199" s="3" customFormat="true" ht="14" hidden="false" customHeight="false" outlineLevel="0" collapsed="false">
      <c r="C199" s="36"/>
    </row>
    <row r="200" s="3" customFormat="true" ht="14" hidden="false" customHeight="false" outlineLevel="0" collapsed="false">
      <c r="C200" s="36"/>
    </row>
    <row r="201" s="3" customFormat="true" ht="14" hidden="false" customHeight="false" outlineLevel="0" collapsed="false">
      <c r="C201" s="36"/>
    </row>
    <row r="202" s="3" customFormat="true" ht="14" hidden="false" customHeight="false" outlineLevel="0" collapsed="false">
      <c r="C202" s="36"/>
    </row>
    <row r="203" s="3" customFormat="true" ht="14" hidden="false" customHeight="false" outlineLevel="0" collapsed="false">
      <c r="C203" s="36"/>
    </row>
    <row r="204" s="3" customFormat="true" ht="14" hidden="false" customHeight="false" outlineLevel="0" collapsed="false">
      <c r="C204" s="36"/>
    </row>
    <row r="205" s="3" customFormat="true" ht="14" hidden="false" customHeight="false" outlineLevel="0" collapsed="false">
      <c r="C205" s="36"/>
    </row>
    <row r="206" s="3" customFormat="true" ht="14" hidden="false" customHeight="false" outlineLevel="0" collapsed="false">
      <c r="C206" s="36"/>
    </row>
    <row r="207" s="3" customFormat="true" ht="14" hidden="false" customHeight="false" outlineLevel="0" collapsed="false">
      <c r="C207" s="36"/>
    </row>
    <row r="208" s="3" customFormat="true" ht="14" hidden="false" customHeight="false" outlineLevel="0" collapsed="false">
      <c r="C208" s="36"/>
    </row>
    <row r="209" s="3" customFormat="true" ht="14" hidden="false" customHeight="false" outlineLevel="0" collapsed="false">
      <c r="C209" s="36"/>
    </row>
    <row r="210" s="3" customFormat="true" ht="14" hidden="false" customHeight="false" outlineLevel="0" collapsed="false">
      <c r="C210" s="36"/>
    </row>
    <row r="211" s="3" customFormat="true" ht="14" hidden="false" customHeight="false" outlineLevel="0" collapsed="false">
      <c r="C211" s="36"/>
    </row>
    <row r="212" s="3" customFormat="true" ht="14" hidden="false" customHeight="false" outlineLevel="0" collapsed="false">
      <c r="C212" s="36"/>
    </row>
    <row r="213" s="3" customFormat="true" ht="14" hidden="false" customHeight="false" outlineLevel="0" collapsed="false">
      <c r="C213" s="36"/>
    </row>
    <row r="214" s="3" customFormat="true" ht="14" hidden="false" customHeight="false" outlineLevel="0" collapsed="false">
      <c r="C214" s="36"/>
    </row>
    <row r="215" s="3" customFormat="true" ht="14" hidden="false" customHeight="false" outlineLevel="0" collapsed="false">
      <c r="C215" s="36"/>
    </row>
    <row r="216" s="3" customFormat="true" ht="14" hidden="false" customHeight="false" outlineLevel="0" collapsed="false">
      <c r="C216" s="36"/>
    </row>
    <row r="217" s="3" customFormat="true" ht="14" hidden="false" customHeight="false" outlineLevel="0" collapsed="false">
      <c r="C217" s="36"/>
    </row>
    <row r="218" s="3" customFormat="true" ht="14" hidden="false" customHeight="false" outlineLevel="0" collapsed="false">
      <c r="C218" s="36"/>
    </row>
    <row r="219" s="3" customFormat="true" ht="14" hidden="false" customHeight="false" outlineLevel="0" collapsed="false">
      <c r="C219" s="36"/>
    </row>
    <row r="220" s="3" customFormat="true" ht="14" hidden="false" customHeight="false" outlineLevel="0" collapsed="false">
      <c r="C220" s="36"/>
    </row>
    <row r="221" s="3" customFormat="true" ht="14" hidden="false" customHeight="false" outlineLevel="0" collapsed="false">
      <c r="C221" s="36"/>
    </row>
    <row r="222" s="3" customFormat="true" ht="14" hidden="false" customHeight="false" outlineLevel="0" collapsed="false">
      <c r="C222" s="36"/>
    </row>
    <row r="223" s="3" customFormat="true" ht="14" hidden="false" customHeight="false" outlineLevel="0" collapsed="false">
      <c r="C223" s="36"/>
    </row>
    <row r="224" s="3" customFormat="true" ht="14" hidden="false" customHeight="false" outlineLevel="0" collapsed="false">
      <c r="C224" s="36"/>
    </row>
    <row r="225" s="3" customFormat="true" ht="14" hidden="false" customHeight="false" outlineLevel="0" collapsed="false">
      <c r="C225" s="36"/>
    </row>
    <row r="226" s="3" customFormat="true" ht="14" hidden="false" customHeight="false" outlineLevel="0" collapsed="false">
      <c r="C226" s="36"/>
    </row>
    <row r="227" s="3" customFormat="true" ht="14" hidden="false" customHeight="false" outlineLevel="0" collapsed="false">
      <c r="C227" s="36"/>
    </row>
    <row r="228" s="3" customFormat="true" ht="14" hidden="false" customHeight="false" outlineLevel="0" collapsed="false">
      <c r="C228" s="36"/>
    </row>
    <row r="229" s="3" customFormat="true" ht="14" hidden="false" customHeight="false" outlineLevel="0" collapsed="false">
      <c r="C229" s="36"/>
    </row>
    <row r="230" s="3" customFormat="true" ht="14" hidden="false" customHeight="false" outlineLevel="0" collapsed="false">
      <c r="C230" s="36"/>
    </row>
    <row r="231" s="3" customFormat="true" ht="14" hidden="false" customHeight="false" outlineLevel="0" collapsed="false">
      <c r="C231" s="36"/>
    </row>
    <row r="232" s="3" customFormat="true" ht="14" hidden="false" customHeight="false" outlineLevel="0" collapsed="false">
      <c r="C232" s="36"/>
    </row>
    <row r="233" s="3" customFormat="true" ht="14" hidden="false" customHeight="false" outlineLevel="0" collapsed="false">
      <c r="C233" s="36"/>
    </row>
    <row r="234" s="3" customFormat="true" ht="14" hidden="false" customHeight="false" outlineLevel="0" collapsed="false">
      <c r="C234" s="36"/>
    </row>
    <row r="235" s="3" customFormat="true" ht="14" hidden="false" customHeight="false" outlineLevel="0" collapsed="false">
      <c r="C235" s="36"/>
    </row>
    <row r="236" s="3" customFormat="true" ht="14" hidden="false" customHeight="false" outlineLevel="0" collapsed="false">
      <c r="C236" s="36"/>
    </row>
    <row r="237" s="3" customFormat="true" ht="14" hidden="false" customHeight="false" outlineLevel="0" collapsed="false">
      <c r="C237" s="36"/>
    </row>
    <row r="238" s="3" customFormat="true" ht="14" hidden="false" customHeight="false" outlineLevel="0" collapsed="false">
      <c r="C238" s="36"/>
    </row>
    <row r="239" s="3" customFormat="true" ht="14" hidden="false" customHeight="false" outlineLevel="0" collapsed="false">
      <c r="C239" s="36"/>
    </row>
    <row r="240" s="3" customFormat="true" ht="14" hidden="false" customHeight="false" outlineLevel="0" collapsed="false">
      <c r="C240" s="36"/>
    </row>
    <row r="241" s="3" customFormat="true" ht="14" hidden="false" customHeight="false" outlineLevel="0" collapsed="false">
      <c r="C241" s="36"/>
    </row>
    <row r="242" s="3" customFormat="true" ht="14" hidden="false" customHeight="false" outlineLevel="0" collapsed="false">
      <c r="C242" s="36"/>
    </row>
    <row r="243" s="3" customFormat="true" ht="14" hidden="false" customHeight="false" outlineLevel="0" collapsed="false">
      <c r="C243" s="36"/>
    </row>
    <row r="244" s="3" customFormat="true" ht="14" hidden="false" customHeight="false" outlineLevel="0" collapsed="false">
      <c r="C244" s="36"/>
    </row>
    <row r="245" s="3" customFormat="true" ht="14" hidden="false" customHeight="false" outlineLevel="0" collapsed="false">
      <c r="C245" s="36"/>
    </row>
    <row r="246" s="3" customFormat="true" ht="14" hidden="false" customHeight="false" outlineLevel="0" collapsed="false">
      <c r="C246" s="36"/>
    </row>
    <row r="247" s="3" customFormat="true" ht="14" hidden="false" customHeight="false" outlineLevel="0" collapsed="false">
      <c r="C247" s="36"/>
    </row>
    <row r="248" s="3" customFormat="true" ht="14" hidden="false" customHeight="false" outlineLevel="0" collapsed="false">
      <c r="C248" s="36"/>
    </row>
    <row r="249" s="3" customFormat="true" ht="14" hidden="false" customHeight="false" outlineLevel="0" collapsed="false">
      <c r="C249" s="36"/>
    </row>
    <row r="250" s="3" customFormat="true" ht="14" hidden="false" customHeight="false" outlineLevel="0" collapsed="false">
      <c r="C250" s="36"/>
    </row>
    <row r="251" s="3" customFormat="true" ht="14" hidden="false" customHeight="false" outlineLevel="0" collapsed="false">
      <c r="C251" s="36"/>
    </row>
    <row r="252" s="3" customFormat="true" ht="14" hidden="false" customHeight="false" outlineLevel="0" collapsed="false">
      <c r="C252" s="36"/>
    </row>
    <row r="253" s="3" customFormat="true" ht="14" hidden="false" customHeight="false" outlineLevel="0" collapsed="false">
      <c r="C253" s="36"/>
    </row>
    <row r="254" s="3" customFormat="true" ht="14" hidden="false" customHeight="false" outlineLevel="0" collapsed="false">
      <c r="C254" s="36"/>
    </row>
    <row r="255" s="3" customFormat="true" ht="14" hidden="false" customHeight="false" outlineLevel="0" collapsed="false">
      <c r="C255" s="36"/>
    </row>
    <row r="256" s="3" customFormat="true" ht="14" hidden="false" customHeight="false" outlineLevel="0" collapsed="false">
      <c r="C256" s="36"/>
    </row>
    <row r="257" s="3" customFormat="true" ht="14" hidden="false" customHeight="false" outlineLevel="0" collapsed="false">
      <c r="C257" s="36"/>
    </row>
    <row r="258" s="3" customFormat="true" ht="14" hidden="false" customHeight="false" outlineLevel="0" collapsed="false">
      <c r="C258" s="36"/>
    </row>
    <row r="259" s="3" customFormat="true" ht="14" hidden="false" customHeight="false" outlineLevel="0" collapsed="false">
      <c r="C259" s="36"/>
    </row>
    <row r="260" s="3" customFormat="true" ht="14" hidden="false" customHeight="false" outlineLevel="0" collapsed="false">
      <c r="C260" s="36"/>
    </row>
    <row r="261" s="3" customFormat="true" ht="14" hidden="false" customHeight="false" outlineLevel="0" collapsed="false">
      <c r="C261" s="36"/>
    </row>
    <row r="262" s="3" customFormat="true" ht="14" hidden="false" customHeight="false" outlineLevel="0" collapsed="false">
      <c r="C262" s="36"/>
    </row>
    <row r="263" s="3" customFormat="true" ht="14" hidden="false" customHeight="false" outlineLevel="0" collapsed="false">
      <c r="C263" s="36"/>
    </row>
    <row r="264" s="3" customFormat="true" ht="14" hidden="false" customHeight="false" outlineLevel="0" collapsed="false">
      <c r="C264" s="36"/>
    </row>
    <row r="265" s="3" customFormat="true" ht="14" hidden="false" customHeight="false" outlineLevel="0" collapsed="false">
      <c r="C265" s="36"/>
    </row>
    <row r="266" s="3" customFormat="true" ht="14" hidden="false" customHeight="false" outlineLevel="0" collapsed="false">
      <c r="C266" s="36"/>
    </row>
    <row r="267" s="3" customFormat="true" ht="14" hidden="false" customHeight="false" outlineLevel="0" collapsed="false">
      <c r="C267" s="36"/>
    </row>
    <row r="268" s="3" customFormat="true" ht="14" hidden="false" customHeight="false" outlineLevel="0" collapsed="false">
      <c r="C268" s="36"/>
    </row>
    <row r="269" s="3" customFormat="true" ht="14" hidden="false" customHeight="false" outlineLevel="0" collapsed="false">
      <c r="C269" s="36"/>
    </row>
    <row r="270" s="3" customFormat="true" ht="14" hidden="false" customHeight="false" outlineLevel="0" collapsed="false">
      <c r="C270" s="36"/>
    </row>
    <row r="271" s="3" customFormat="true" ht="14" hidden="false" customHeight="false" outlineLevel="0" collapsed="false">
      <c r="C271" s="36"/>
    </row>
    <row r="272" s="3" customFormat="true" ht="14" hidden="false" customHeight="false" outlineLevel="0" collapsed="false">
      <c r="C272" s="36"/>
    </row>
    <row r="273" s="3" customFormat="true" ht="14" hidden="false" customHeight="false" outlineLevel="0" collapsed="false">
      <c r="C273" s="36"/>
    </row>
    <row r="274" s="3" customFormat="true" ht="14" hidden="false" customHeight="false" outlineLevel="0" collapsed="false">
      <c r="C274" s="36"/>
    </row>
    <row r="275" s="3" customFormat="true" ht="14" hidden="false" customHeight="false" outlineLevel="0" collapsed="false">
      <c r="C275" s="36"/>
    </row>
    <row r="276" s="3" customFormat="true" ht="14" hidden="false" customHeight="false" outlineLevel="0" collapsed="false">
      <c r="C276" s="36"/>
    </row>
    <row r="277" s="3" customFormat="true" ht="14" hidden="false" customHeight="false" outlineLevel="0" collapsed="false">
      <c r="C277" s="36"/>
    </row>
    <row r="278" s="3" customFormat="true" ht="14" hidden="false" customHeight="false" outlineLevel="0" collapsed="false">
      <c r="C278" s="36"/>
    </row>
    <row r="279" s="3" customFormat="true" ht="14" hidden="false" customHeight="false" outlineLevel="0" collapsed="false">
      <c r="C279" s="36"/>
    </row>
    <row r="280" s="3" customFormat="true" ht="14" hidden="false" customHeight="false" outlineLevel="0" collapsed="false">
      <c r="C280" s="36"/>
    </row>
    <row r="281" s="3" customFormat="true" ht="14" hidden="false" customHeight="false" outlineLevel="0" collapsed="false">
      <c r="C281" s="36"/>
    </row>
    <row r="282" s="3" customFormat="true" ht="14" hidden="false" customHeight="false" outlineLevel="0" collapsed="false">
      <c r="C282" s="36"/>
    </row>
    <row r="283" s="3" customFormat="true" ht="14" hidden="false" customHeight="false" outlineLevel="0" collapsed="false">
      <c r="C283" s="36"/>
    </row>
    <row r="284" s="3" customFormat="true" ht="14" hidden="false" customHeight="false" outlineLevel="0" collapsed="false">
      <c r="C284" s="36"/>
    </row>
    <row r="285" s="3" customFormat="true" ht="14" hidden="false" customHeight="false" outlineLevel="0" collapsed="false">
      <c r="C285" s="36"/>
    </row>
    <row r="286" s="3" customFormat="true" ht="14" hidden="false" customHeight="false" outlineLevel="0" collapsed="false">
      <c r="C286" s="36"/>
    </row>
    <row r="287" s="3" customFormat="true" ht="14" hidden="false" customHeight="false" outlineLevel="0" collapsed="false">
      <c r="C287" s="36"/>
    </row>
    <row r="288" s="3" customFormat="true" ht="14" hidden="false" customHeight="false" outlineLevel="0" collapsed="false">
      <c r="C288" s="36"/>
    </row>
    <row r="289" s="3" customFormat="true" ht="14" hidden="false" customHeight="false" outlineLevel="0" collapsed="false">
      <c r="C289" s="36"/>
    </row>
    <row r="290" s="3" customFormat="true" ht="14" hidden="false" customHeight="false" outlineLevel="0" collapsed="false">
      <c r="C290" s="36"/>
    </row>
    <row r="291" s="3" customFormat="true" ht="14" hidden="false" customHeight="false" outlineLevel="0" collapsed="false">
      <c r="C291" s="36"/>
    </row>
    <row r="292" s="3" customFormat="true" ht="14" hidden="false" customHeight="false" outlineLevel="0" collapsed="false">
      <c r="C292" s="36"/>
    </row>
    <row r="293" s="3" customFormat="true" ht="14" hidden="false" customHeight="false" outlineLevel="0" collapsed="false">
      <c r="C293" s="36"/>
    </row>
    <row r="294" s="3" customFormat="true" ht="14" hidden="false" customHeight="false" outlineLevel="0" collapsed="false">
      <c r="C294" s="36"/>
    </row>
    <row r="295" s="3" customFormat="true" ht="14" hidden="false" customHeight="false" outlineLevel="0" collapsed="false">
      <c r="C295" s="36"/>
    </row>
    <row r="296" s="3" customFormat="true" ht="14" hidden="false" customHeight="false" outlineLevel="0" collapsed="false">
      <c r="C296" s="36"/>
    </row>
    <row r="297" s="3" customFormat="true" ht="14" hidden="false" customHeight="false" outlineLevel="0" collapsed="false">
      <c r="C297" s="36"/>
    </row>
    <row r="298" s="3" customFormat="true" ht="14" hidden="false" customHeight="false" outlineLevel="0" collapsed="false">
      <c r="C298" s="36"/>
    </row>
    <row r="299" s="3" customFormat="true" ht="14" hidden="false" customHeight="false" outlineLevel="0" collapsed="false">
      <c r="C299" s="36"/>
    </row>
    <row r="300" s="3" customFormat="true" ht="14" hidden="false" customHeight="false" outlineLevel="0" collapsed="false">
      <c r="C300" s="36"/>
    </row>
    <row r="301" s="3" customFormat="true" ht="14" hidden="false" customHeight="false" outlineLevel="0" collapsed="false">
      <c r="C301" s="36"/>
    </row>
    <row r="302" s="3" customFormat="true" ht="14" hidden="false" customHeight="false" outlineLevel="0" collapsed="false">
      <c r="C302" s="36"/>
    </row>
    <row r="303" s="3" customFormat="true" ht="14" hidden="false" customHeight="false" outlineLevel="0" collapsed="false">
      <c r="C303" s="36"/>
    </row>
    <row r="304" s="3" customFormat="true" ht="14" hidden="false" customHeight="false" outlineLevel="0" collapsed="false">
      <c r="C304" s="36"/>
    </row>
    <row r="305" s="3" customFormat="true" ht="14" hidden="false" customHeight="false" outlineLevel="0" collapsed="false">
      <c r="C305" s="36"/>
    </row>
    <row r="306" s="3" customFormat="true" ht="14" hidden="false" customHeight="false" outlineLevel="0" collapsed="false">
      <c r="C306" s="36"/>
    </row>
    <row r="307" s="3" customFormat="true" ht="14" hidden="false" customHeight="false" outlineLevel="0" collapsed="false">
      <c r="C307" s="36"/>
    </row>
    <row r="308" s="3" customFormat="true" ht="14" hidden="false" customHeight="false" outlineLevel="0" collapsed="false">
      <c r="C308" s="36"/>
    </row>
    <row r="309" s="3" customFormat="true" ht="14" hidden="false" customHeight="false" outlineLevel="0" collapsed="false">
      <c r="C309" s="36"/>
    </row>
    <row r="310" s="3" customFormat="true" ht="14" hidden="false" customHeight="false" outlineLevel="0" collapsed="false">
      <c r="C310" s="36"/>
    </row>
    <row r="311" s="3" customFormat="true" ht="14" hidden="false" customHeight="false" outlineLevel="0" collapsed="false">
      <c r="C311" s="36"/>
    </row>
    <row r="312" s="3" customFormat="true" ht="14" hidden="false" customHeight="false" outlineLevel="0" collapsed="false">
      <c r="C312" s="36"/>
    </row>
    <row r="313" s="3" customFormat="true" ht="14" hidden="false" customHeight="false" outlineLevel="0" collapsed="false">
      <c r="C313" s="36"/>
    </row>
    <row r="314" s="3" customFormat="true" ht="14" hidden="false" customHeight="false" outlineLevel="0" collapsed="false">
      <c r="C314" s="36"/>
    </row>
    <row r="315" s="3" customFormat="true" ht="14" hidden="false" customHeight="false" outlineLevel="0" collapsed="false">
      <c r="C315" s="36"/>
    </row>
    <row r="316" s="3" customFormat="true" ht="14" hidden="false" customHeight="false" outlineLevel="0" collapsed="false">
      <c r="C316" s="36"/>
    </row>
    <row r="317" s="3" customFormat="true" ht="14" hidden="false" customHeight="false" outlineLevel="0" collapsed="false">
      <c r="C317" s="36"/>
    </row>
    <row r="318" s="3" customFormat="true" ht="14" hidden="false" customHeight="false" outlineLevel="0" collapsed="false">
      <c r="C318" s="36"/>
    </row>
    <row r="319" s="3" customFormat="true" ht="14" hidden="false" customHeight="false" outlineLevel="0" collapsed="false">
      <c r="C319" s="36"/>
    </row>
    <row r="320" s="3" customFormat="true" ht="14" hidden="false" customHeight="false" outlineLevel="0" collapsed="false">
      <c r="C320" s="36"/>
    </row>
    <row r="321" s="3" customFormat="true" ht="14" hidden="false" customHeight="false" outlineLevel="0" collapsed="false">
      <c r="C321" s="36"/>
    </row>
    <row r="322" s="3" customFormat="true" ht="14" hidden="false" customHeight="false" outlineLevel="0" collapsed="false">
      <c r="C322" s="36"/>
    </row>
    <row r="323" s="3" customFormat="true" ht="14" hidden="false" customHeight="false" outlineLevel="0" collapsed="false">
      <c r="C323" s="36"/>
    </row>
    <row r="324" s="3" customFormat="true" ht="14" hidden="false" customHeight="false" outlineLevel="0" collapsed="false">
      <c r="C324" s="36"/>
    </row>
    <row r="325" s="3" customFormat="true" ht="14" hidden="false" customHeight="false" outlineLevel="0" collapsed="false">
      <c r="C325" s="36"/>
    </row>
    <row r="326" s="3" customFormat="true" ht="14" hidden="false" customHeight="false" outlineLevel="0" collapsed="false">
      <c r="C326" s="36"/>
    </row>
    <row r="327" s="3" customFormat="true" ht="14" hidden="false" customHeight="false" outlineLevel="0" collapsed="false">
      <c r="C327" s="36"/>
    </row>
    <row r="328" s="3" customFormat="true" ht="14" hidden="false" customHeight="false" outlineLevel="0" collapsed="false">
      <c r="C328" s="36"/>
    </row>
    <row r="329" s="3" customFormat="true" ht="14" hidden="false" customHeight="false" outlineLevel="0" collapsed="false">
      <c r="C329" s="36"/>
    </row>
    <row r="330" s="3" customFormat="true" ht="14" hidden="false" customHeight="false" outlineLevel="0" collapsed="false">
      <c r="C330" s="36"/>
    </row>
    <row r="331" s="3" customFormat="true" ht="14" hidden="false" customHeight="false" outlineLevel="0" collapsed="false">
      <c r="C331" s="36"/>
    </row>
    <row r="332" s="3" customFormat="true" ht="14" hidden="false" customHeight="false" outlineLevel="0" collapsed="false">
      <c r="C332" s="36"/>
    </row>
    <row r="333" s="3" customFormat="true" ht="14" hidden="false" customHeight="false" outlineLevel="0" collapsed="false">
      <c r="C333" s="36"/>
    </row>
    <row r="334" s="3" customFormat="true" ht="14" hidden="false" customHeight="false" outlineLevel="0" collapsed="false">
      <c r="C334" s="36"/>
    </row>
    <row r="335" s="3" customFormat="true" ht="14" hidden="false" customHeight="false" outlineLevel="0" collapsed="false">
      <c r="C335" s="36"/>
    </row>
    <row r="336" s="3" customFormat="true" ht="14" hidden="false" customHeight="false" outlineLevel="0" collapsed="false">
      <c r="C336" s="36"/>
    </row>
    <row r="337" s="3" customFormat="true" ht="14" hidden="false" customHeight="false" outlineLevel="0" collapsed="false">
      <c r="C337" s="36"/>
    </row>
    <row r="338" s="3" customFormat="true" ht="14" hidden="false" customHeight="false" outlineLevel="0" collapsed="false">
      <c r="C338" s="36"/>
    </row>
    <row r="339" s="3" customFormat="true" ht="14" hidden="false" customHeight="false" outlineLevel="0" collapsed="false">
      <c r="C339" s="36"/>
    </row>
    <row r="340" s="3" customFormat="true" ht="14" hidden="false" customHeight="false" outlineLevel="0" collapsed="false">
      <c r="C340" s="36"/>
    </row>
    <row r="341" s="3" customFormat="true" ht="14" hidden="false" customHeight="false" outlineLevel="0" collapsed="false">
      <c r="C341" s="36"/>
    </row>
    <row r="342" s="3" customFormat="true" ht="14" hidden="false" customHeight="false" outlineLevel="0" collapsed="false">
      <c r="C342" s="36"/>
    </row>
    <row r="343" s="3" customFormat="true" ht="14" hidden="false" customHeight="false" outlineLevel="0" collapsed="false">
      <c r="C343" s="36"/>
    </row>
    <row r="344" s="3" customFormat="true" ht="14" hidden="false" customHeight="false" outlineLevel="0" collapsed="false">
      <c r="C344" s="36"/>
    </row>
    <row r="345" s="3" customFormat="true" ht="14" hidden="false" customHeight="false" outlineLevel="0" collapsed="false">
      <c r="C345" s="36"/>
    </row>
    <row r="346" s="3" customFormat="true" ht="14" hidden="false" customHeight="false" outlineLevel="0" collapsed="false">
      <c r="C346" s="36"/>
    </row>
    <row r="347" s="3" customFormat="true" ht="14" hidden="false" customHeight="false" outlineLevel="0" collapsed="false">
      <c r="C347" s="36"/>
    </row>
    <row r="348" s="3" customFormat="true" ht="14" hidden="false" customHeight="false" outlineLevel="0" collapsed="false">
      <c r="C348" s="36"/>
    </row>
    <row r="349" s="3" customFormat="true" ht="14" hidden="false" customHeight="false" outlineLevel="0" collapsed="false">
      <c r="C349" s="36"/>
    </row>
    <row r="350" s="3" customFormat="true" ht="14" hidden="false" customHeight="false" outlineLevel="0" collapsed="false">
      <c r="C350" s="36"/>
    </row>
    <row r="351" s="3" customFormat="true" ht="14" hidden="false" customHeight="false" outlineLevel="0" collapsed="false">
      <c r="C351" s="36"/>
    </row>
    <row r="352" s="3" customFormat="true" ht="14" hidden="false" customHeight="false" outlineLevel="0" collapsed="false">
      <c r="C352" s="36"/>
    </row>
    <row r="353" s="3" customFormat="true" ht="14" hidden="false" customHeight="false" outlineLevel="0" collapsed="false">
      <c r="C353" s="36"/>
    </row>
    <row r="354" s="3" customFormat="true" ht="14" hidden="false" customHeight="false" outlineLevel="0" collapsed="false">
      <c r="C354" s="36"/>
    </row>
    <row r="355" s="3" customFormat="true" ht="14" hidden="false" customHeight="false" outlineLevel="0" collapsed="false">
      <c r="C355" s="36"/>
    </row>
    <row r="356" s="3" customFormat="true" ht="14" hidden="false" customHeight="false" outlineLevel="0" collapsed="false">
      <c r="C356" s="36"/>
    </row>
    <row r="357" s="3" customFormat="true" ht="14" hidden="false" customHeight="false" outlineLevel="0" collapsed="false">
      <c r="C357" s="36"/>
    </row>
    <row r="358" s="3" customFormat="true" ht="14" hidden="false" customHeight="false" outlineLevel="0" collapsed="false">
      <c r="C358" s="36"/>
    </row>
    <row r="359" s="3" customFormat="true" ht="14" hidden="false" customHeight="false" outlineLevel="0" collapsed="false">
      <c r="C359" s="36"/>
    </row>
    <row r="360" s="3" customFormat="true" ht="14" hidden="false" customHeight="false" outlineLevel="0" collapsed="false">
      <c r="C360" s="36"/>
    </row>
    <row r="361" s="3" customFormat="true" ht="14" hidden="false" customHeight="false" outlineLevel="0" collapsed="false">
      <c r="C361" s="36"/>
    </row>
    <row r="362" s="3" customFormat="true" ht="14" hidden="false" customHeight="false" outlineLevel="0" collapsed="false">
      <c r="C362" s="36"/>
    </row>
    <row r="363" s="3" customFormat="true" ht="14" hidden="false" customHeight="false" outlineLevel="0" collapsed="false">
      <c r="C363" s="36"/>
    </row>
    <row r="364" s="3" customFormat="true" ht="14" hidden="false" customHeight="false" outlineLevel="0" collapsed="false">
      <c r="C364" s="36"/>
    </row>
    <row r="365" s="3" customFormat="true" ht="14" hidden="false" customHeight="false" outlineLevel="0" collapsed="false">
      <c r="C365" s="36"/>
    </row>
    <row r="366" s="3" customFormat="true" ht="14" hidden="false" customHeight="false" outlineLevel="0" collapsed="false">
      <c r="C366" s="36"/>
    </row>
    <row r="367" s="3" customFormat="true" ht="14" hidden="false" customHeight="false" outlineLevel="0" collapsed="false">
      <c r="C367" s="36"/>
    </row>
    <row r="368" s="3" customFormat="true" ht="14" hidden="false" customHeight="false" outlineLevel="0" collapsed="false">
      <c r="C368" s="36"/>
    </row>
    <row r="369" s="3" customFormat="true" ht="14" hidden="false" customHeight="false" outlineLevel="0" collapsed="false">
      <c r="C369" s="36"/>
    </row>
    <row r="370" s="3" customFormat="true" ht="14" hidden="false" customHeight="false" outlineLevel="0" collapsed="false">
      <c r="C370" s="36"/>
    </row>
    <row r="371" s="3" customFormat="true" ht="14" hidden="false" customHeight="false" outlineLevel="0" collapsed="false">
      <c r="C371" s="36"/>
    </row>
    <row r="372" s="3" customFormat="true" ht="14" hidden="false" customHeight="false" outlineLevel="0" collapsed="false">
      <c r="C372" s="36"/>
    </row>
    <row r="373" s="3" customFormat="true" ht="14" hidden="false" customHeight="false" outlineLevel="0" collapsed="false">
      <c r="C373" s="36"/>
    </row>
    <row r="374" s="3" customFormat="true" ht="14" hidden="false" customHeight="false" outlineLevel="0" collapsed="false">
      <c r="C374" s="36"/>
    </row>
    <row r="375" s="3" customFormat="true" ht="14" hidden="false" customHeight="false" outlineLevel="0" collapsed="false">
      <c r="C375" s="36"/>
    </row>
    <row r="376" s="3" customFormat="true" ht="14" hidden="false" customHeight="false" outlineLevel="0" collapsed="false">
      <c r="C376" s="36"/>
    </row>
    <row r="377" s="3" customFormat="true" ht="14" hidden="false" customHeight="false" outlineLevel="0" collapsed="false">
      <c r="C377" s="36"/>
    </row>
    <row r="378" s="3" customFormat="true" ht="14" hidden="false" customHeight="false" outlineLevel="0" collapsed="false">
      <c r="C378" s="36"/>
    </row>
    <row r="379" s="3" customFormat="true" ht="14" hidden="false" customHeight="false" outlineLevel="0" collapsed="false">
      <c r="C379" s="36"/>
    </row>
    <row r="380" s="3" customFormat="true" ht="14" hidden="false" customHeight="false" outlineLevel="0" collapsed="false">
      <c r="C380" s="36"/>
    </row>
    <row r="381" s="3" customFormat="true" ht="14" hidden="false" customHeight="false" outlineLevel="0" collapsed="false">
      <c r="C381" s="36"/>
    </row>
    <row r="382" s="3" customFormat="true" ht="14" hidden="false" customHeight="false" outlineLevel="0" collapsed="false">
      <c r="C382" s="36"/>
    </row>
    <row r="383" s="3" customFormat="true" ht="14" hidden="false" customHeight="false" outlineLevel="0" collapsed="false">
      <c r="C383" s="36"/>
    </row>
    <row r="384" s="3" customFormat="true" ht="14" hidden="false" customHeight="false" outlineLevel="0" collapsed="false">
      <c r="C384" s="36"/>
    </row>
    <row r="385" s="3" customFormat="true" ht="14" hidden="false" customHeight="false" outlineLevel="0" collapsed="false">
      <c r="C385" s="36"/>
    </row>
    <row r="386" s="3" customFormat="true" ht="14" hidden="false" customHeight="false" outlineLevel="0" collapsed="false">
      <c r="C386" s="36"/>
    </row>
    <row r="387" s="3" customFormat="true" ht="14" hidden="false" customHeight="false" outlineLevel="0" collapsed="false">
      <c r="C387" s="36"/>
    </row>
    <row r="388" s="3" customFormat="true" ht="14" hidden="false" customHeight="false" outlineLevel="0" collapsed="false">
      <c r="C388" s="36"/>
    </row>
    <row r="389" s="3" customFormat="true" ht="14" hidden="false" customHeight="false" outlineLevel="0" collapsed="false">
      <c r="C389" s="36"/>
    </row>
    <row r="390" s="3" customFormat="true" ht="14" hidden="false" customHeight="false" outlineLevel="0" collapsed="false">
      <c r="C390" s="36"/>
    </row>
    <row r="391" s="3" customFormat="true" ht="14" hidden="false" customHeight="false" outlineLevel="0" collapsed="false">
      <c r="C391" s="36"/>
    </row>
    <row r="392" s="3" customFormat="true" ht="14" hidden="false" customHeight="false" outlineLevel="0" collapsed="false">
      <c r="C392" s="36"/>
    </row>
    <row r="393" s="3" customFormat="true" ht="14" hidden="false" customHeight="false" outlineLevel="0" collapsed="false">
      <c r="C393" s="36"/>
    </row>
    <row r="394" s="3" customFormat="true" ht="14" hidden="false" customHeight="false" outlineLevel="0" collapsed="false">
      <c r="C394" s="36"/>
    </row>
    <row r="395" s="3" customFormat="true" ht="14" hidden="false" customHeight="false" outlineLevel="0" collapsed="false">
      <c r="C395" s="36"/>
    </row>
    <row r="396" s="3" customFormat="true" ht="14" hidden="false" customHeight="false" outlineLevel="0" collapsed="false">
      <c r="C396" s="36"/>
    </row>
    <row r="397" s="3" customFormat="true" ht="14" hidden="false" customHeight="false" outlineLevel="0" collapsed="false">
      <c r="C397" s="36"/>
    </row>
    <row r="398" s="3" customFormat="true" ht="14" hidden="false" customHeight="false" outlineLevel="0" collapsed="false">
      <c r="C398" s="36"/>
    </row>
    <row r="399" s="3" customFormat="true" ht="14" hidden="false" customHeight="false" outlineLevel="0" collapsed="false">
      <c r="C399" s="36"/>
    </row>
    <row r="400" s="3" customFormat="true" ht="14" hidden="false" customHeight="false" outlineLevel="0" collapsed="false">
      <c r="C400" s="36"/>
    </row>
    <row r="401" s="3" customFormat="true" ht="14" hidden="false" customHeight="false" outlineLevel="0" collapsed="false">
      <c r="C401" s="36"/>
    </row>
    <row r="402" s="3" customFormat="true" ht="14" hidden="false" customHeight="false" outlineLevel="0" collapsed="false">
      <c r="C402" s="36"/>
    </row>
    <row r="403" s="3" customFormat="true" ht="14" hidden="false" customHeight="false" outlineLevel="0" collapsed="false">
      <c r="C403" s="36"/>
    </row>
    <row r="404" s="3" customFormat="true" ht="14" hidden="false" customHeight="false" outlineLevel="0" collapsed="false">
      <c r="C404" s="36"/>
    </row>
    <row r="405" s="3" customFormat="true" ht="14" hidden="false" customHeight="false" outlineLevel="0" collapsed="false">
      <c r="C405" s="36"/>
    </row>
    <row r="406" s="3" customFormat="true" ht="14" hidden="false" customHeight="false" outlineLevel="0" collapsed="false">
      <c r="C406" s="36"/>
    </row>
    <row r="407" s="3" customFormat="true" ht="14" hidden="false" customHeight="false" outlineLevel="0" collapsed="false">
      <c r="C407" s="36"/>
    </row>
    <row r="408" s="3" customFormat="true" ht="14" hidden="false" customHeight="false" outlineLevel="0" collapsed="false">
      <c r="C408" s="36"/>
    </row>
    <row r="409" s="3" customFormat="true" ht="14" hidden="false" customHeight="false" outlineLevel="0" collapsed="false">
      <c r="C409" s="36"/>
    </row>
    <row r="410" s="3" customFormat="true" ht="14" hidden="false" customHeight="false" outlineLevel="0" collapsed="false">
      <c r="C410" s="36"/>
    </row>
    <row r="411" s="3" customFormat="true" ht="14" hidden="false" customHeight="false" outlineLevel="0" collapsed="false">
      <c r="C411" s="36"/>
    </row>
    <row r="412" s="3" customFormat="true" ht="14" hidden="false" customHeight="false" outlineLevel="0" collapsed="false">
      <c r="C412" s="36"/>
    </row>
    <row r="413" s="3" customFormat="true" ht="14" hidden="false" customHeight="false" outlineLevel="0" collapsed="false">
      <c r="C413" s="36"/>
    </row>
    <row r="414" s="3" customFormat="true" ht="14" hidden="false" customHeight="false" outlineLevel="0" collapsed="false">
      <c r="C414" s="36"/>
    </row>
    <row r="415" s="3" customFormat="true" ht="14" hidden="false" customHeight="false" outlineLevel="0" collapsed="false">
      <c r="C415" s="36"/>
    </row>
    <row r="416" s="3" customFormat="true" ht="14" hidden="false" customHeight="false" outlineLevel="0" collapsed="false">
      <c r="C416" s="36"/>
    </row>
    <row r="417" s="3" customFormat="true" ht="14" hidden="false" customHeight="false" outlineLevel="0" collapsed="false">
      <c r="C417" s="36"/>
    </row>
    <row r="418" s="3" customFormat="true" ht="14" hidden="false" customHeight="false" outlineLevel="0" collapsed="false">
      <c r="C418" s="36"/>
    </row>
    <row r="419" s="3" customFormat="true" ht="14" hidden="false" customHeight="false" outlineLevel="0" collapsed="false">
      <c r="C419" s="36"/>
    </row>
    <row r="420" s="3" customFormat="true" ht="14" hidden="false" customHeight="false" outlineLevel="0" collapsed="false">
      <c r="C420" s="36"/>
    </row>
    <row r="421" s="3" customFormat="true" ht="14" hidden="false" customHeight="false" outlineLevel="0" collapsed="false">
      <c r="C421" s="36"/>
    </row>
    <row r="422" s="3" customFormat="true" ht="14" hidden="false" customHeight="false" outlineLevel="0" collapsed="false">
      <c r="C422" s="36"/>
    </row>
    <row r="423" s="3" customFormat="true" ht="14" hidden="false" customHeight="false" outlineLevel="0" collapsed="false">
      <c r="C423" s="36"/>
    </row>
    <row r="424" s="3" customFormat="true" ht="14" hidden="false" customHeight="false" outlineLevel="0" collapsed="false">
      <c r="C424" s="36"/>
    </row>
    <row r="425" s="3" customFormat="true" ht="14" hidden="false" customHeight="false" outlineLevel="0" collapsed="false">
      <c r="C425" s="36"/>
    </row>
    <row r="426" s="3" customFormat="true" ht="14" hidden="false" customHeight="false" outlineLevel="0" collapsed="false">
      <c r="C426" s="36"/>
    </row>
    <row r="427" s="3" customFormat="true" ht="14" hidden="false" customHeight="false" outlineLevel="0" collapsed="false">
      <c r="C427" s="36"/>
    </row>
    <row r="428" s="3" customFormat="true" ht="14" hidden="false" customHeight="false" outlineLevel="0" collapsed="false">
      <c r="C428" s="36"/>
    </row>
    <row r="429" s="3" customFormat="true" ht="14" hidden="false" customHeight="false" outlineLevel="0" collapsed="false">
      <c r="C429" s="36"/>
    </row>
    <row r="430" s="3" customFormat="true" ht="14" hidden="false" customHeight="false" outlineLevel="0" collapsed="false">
      <c r="C430" s="36"/>
    </row>
    <row r="431" s="3" customFormat="true" ht="14" hidden="false" customHeight="false" outlineLevel="0" collapsed="false">
      <c r="C431" s="36"/>
    </row>
    <row r="432" s="3" customFormat="true" ht="14" hidden="false" customHeight="false" outlineLevel="0" collapsed="false">
      <c r="C432" s="36"/>
    </row>
    <row r="433" s="3" customFormat="true" ht="14" hidden="false" customHeight="false" outlineLevel="0" collapsed="false">
      <c r="C433" s="36"/>
    </row>
    <row r="434" s="3" customFormat="true" ht="14" hidden="false" customHeight="false" outlineLevel="0" collapsed="false">
      <c r="C434" s="36"/>
    </row>
    <row r="435" s="3" customFormat="true" ht="14" hidden="false" customHeight="false" outlineLevel="0" collapsed="false">
      <c r="C435" s="36"/>
    </row>
    <row r="436" s="3" customFormat="true" ht="14" hidden="false" customHeight="false" outlineLevel="0" collapsed="false">
      <c r="C436" s="36"/>
    </row>
    <row r="437" s="3" customFormat="true" ht="14" hidden="false" customHeight="false" outlineLevel="0" collapsed="false">
      <c r="C437" s="36"/>
    </row>
    <row r="438" s="3" customFormat="true" ht="14" hidden="false" customHeight="false" outlineLevel="0" collapsed="false">
      <c r="C438" s="36"/>
    </row>
    <row r="439" s="3" customFormat="true" ht="14" hidden="false" customHeight="false" outlineLevel="0" collapsed="false">
      <c r="C439" s="36"/>
    </row>
    <row r="440" s="3" customFormat="true" ht="14" hidden="false" customHeight="false" outlineLevel="0" collapsed="false">
      <c r="C440" s="36"/>
    </row>
    <row r="441" s="3" customFormat="true" ht="14" hidden="false" customHeight="false" outlineLevel="0" collapsed="false">
      <c r="C441" s="36"/>
    </row>
    <row r="442" s="3" customFormat="true" ht="14" hidden="false" customHeight="false" outlineLevel="0" collapsed="false">
      <c r="C442" s="36"/>
    </row>
    <row r="443" s="3" customFormat="true" ht="14" hidden="false" customHeight="false" outlineLevel="0" collapsed="false">
      <c r="C443" s="36"/>
    </row>
    <row r="444" s="3" customFormat="true" ht="14" hidden="false" customHeight="false" outlineLevel="0" collapsed="false">
      <c r="C444" s="36"/>
    </row>
    <row r="445" s="3" customFormat="true" ht="14" hidden="false" customHeight="false" outlineLevel="0" collapsed="false">
      <c r="C445" s="36"/>
    </row>
    <row r="446" s="3" customFormat="true" ht="14" hidden="false" customHeight="false" outlineLevel="0" collapsed="false">
      <c r="C446" s="36"/>
    </row>
    <row r="447" s="3" customFormat="true" ht="14" hidden="false" customHeight="false" outlineLevel="0" collapsed="false">
      <c r="C447" s="36"/>
    </row>
    <row r="448" s="3" customFormat="true" ht="14" hidden="false" customHeight="false" outlineLevel="0" collapsed="false">
      <c r="C448" s="36"/>
    </row>
    <row r="449" s="3" customFormat="true" ht="14" hidden="false" customHeight="false" outlineLevel="0" collapsed="false">
      <c r="C449" s="36"/>
    </row>
    <row r="450" s="3" customFormat="true" ht="14" hidden="false" customHeight="false" outlineLevel="0" collapsed="false">
      <c r="C450" s="36"/>
    </row>
    <row r="451" s="3" customFormat="true" ht="14" hidden="false" customHeight="false" outlineLevel="0" collapsed="false">
      <c r="C451" s="36"/>
    </row>
    <row r="452" s="3" customFormat="true" ht="14" hidden="false" customHeight="false" outlineLevel="0" collapsed="false">
      <c r="C452" s="36"/>
    </row>
    <row r="453" s="3" customFormat="true" ht="14" hidden="false" customHeight="false" outlineLevel="0" collapsed="false">
      <c r="C453" s="36"/>
    </row>
    <row r="454" s="3" customFormat="true" ht="14" hidden="false" customHeight="false" outlineLevel="0" collapsed="false">
      <c r="C454" s="36"/>
    </row>
    <row r="455" s="3" customFormat="true" ht="14" hidden="false" customHeight="false" outlineLevel="0" collapsed="false">
      <c r="C455" s="36"/>
    </row>
    <row r="456" s="3" customFormat="true" ht="14" hidden="false" customHeight="false" outlineLevel="0" collapsed="false">
      <c r="C456" s="36"/>
    </row>
    <row r="457" s="3" customFormat="true" ht="14" hidden="false" customHeight="false" outlineLevel="0" collapsed="false">
      <c r="C457" s="36"/>
    </row>
    <row r="458" s="3" customFormat="true" ht="14" hidden="false" customHeight="false" outlineLevel="0" collapsed="false">
      <c r="C458" s="36"/>
    </row>
    <row r="459" s="3" customFormat="true" ht="14" hidden="false" customHeight="false" outlineLevel="0" collapsed="false">
      <c r="C459" s="36"/>
    </row>
    <row r="460" s="3" customFormat="true" ht="14" hidden="false" customHeight="false" outlineLevel="0" collapsed="false">
      <c r="C460" s="36"/>
    </row>
    <row r="461" s="3" customFormat="true" ht="14" hidden="false" customHeight="false" outlineLevel="0" collapsed="false">
      <c r="C461" s="36"/>
    </row>
    <row r="462" s="3" customFormat="true" ht="14" hidden="false" customHeight="false" outlineLevel="0" collapsed="false">
      <c r="C462" s="36"/>
    </row>
    <row r="463" s="3" customFormat="true" ht="14" hidden="false" customHeight="false" outlineLevel="0" collapsed="false">
      <c r="C463" s="36"/>
    </row>
    <row r="464" s="3" customFormat="true" ht="14" hidden="false" customHeight="false" outlineLevel="0" collapsed="false">
      <c r="C464" s="36"/>
    </row>
    <row r="465" s="3" customFormat="true" ht="14" hidden="false" customHeight="false" outlineLevel="0" collapsed="false">
      <c r="C465" s="36"/>
    </row>
    <row r="466" s="3" customFormat="true" ht="14" hidden="false" customHeight="false" outlineLevel="0" collapsed="false">
      <c r="C466" s="36"/>
    </row>
    <row r="467" s="3" customFormat="true" ht="14" hidden="false" customHeight="false" outlineLevel="0" collapsed="false">
      <c r="C467" s="36"/>
    </row>
    <row r="468" s="3" customFormat="true" ht="14" hidden="false" customHeight="false" outlineLevel="0" collapsed="false">
      <c r="C468" s="36"/>
    </row>
    <row r="469" s="3" customFormat="true" ht="14" hidden="false" customHeight="false" outlineLevel="0" collapsed="false">
      <c r="C469" s="36"/>
    </row>
    <row r="470" s="3" customFormat="true" ht="14" hidden="false" customHeight="false" outlineLevel="0" collapsed="false">
      <c r="C470" s="36"/>
    </row>
    <row r="471" s="3" customFormat="true" ht="14" hidden="false" customHeight="false" outlineLevel="0" collapsed="false">
      <c r="C471" s="36"/>
    </row>
    <row r="472" s="3" customFormat="true" ht="14" hidden="false" customHeight="false" outlineLevel="0" collapsed="false">
      <c r="C472" s="36"/>
    </row>
    <row r="473" s="3" customFormat="true" ht="14" hidden="false" customHeight="false" outlineLevel="0" collapsed="false">
      <c r="C473" s="36"/>
    </row>
    <row r="474" s="3" customFormat="true" ht="14" hidden="false" customHeight="false" outlineLevel="0" collapsed="false">
      <c r="C474" s="36"/>
    </row>
    <row r="475" s="3" customFormat="true" ht="14" hidden="false" customHeight="false" outlineLevel="0" collapsed="false">
      <c r="C475" s="36"/>
    </row>
    <row r="476" s="3" customFormat="true" ht="14" hidden="false" customHeight="false" outlineLevel="0" collapsed="false">
      <c r="C476" s="36"/>
    </row>
    <row r="477" s="3" customFormat="true" ht="14" hidden="false" customHeight="false" outlineLevel="0" collapsed="false">
      <c r="C477" s="36"/>
    </row>
    <row r="478" s="3" customFormat="true" ht="14" hidden="false" customHeight="false" outlineLevel="0" collapsed="false">
      <c r="C478" s="36"/>
    </row>
    <row r="479" s="3" customFormat="true" ht="14" hidden="false" customHeight="false" outlineLevel="0" collapsed="false">
      <c r="C479" s="36"/>
    </row>
    <row r="480" s="3" customFormat="true" ht="14" hidden="false" customHeight="false" outlineLevel="0" collapsed="false">
      <c r="C480" s="36"/>
    </row>
    <row r="481" s="3" customFormat="true" ht="14" hidden="false" customHeight="false" outlineLevel="0" collapsed="false">
      <c r="C481" s="36"/>
    </row>
    <row r="482" s="3" customFormat="true" ht="14" hidden="false" customHeight="false" outlineLevel="0" collapsed="false">
      <c r="C482" s="36"/>
    </row>
    <row r="483" s="3" customFormat="true" ht="14" hidden="false" customHeight="false" outlineLevel="0" collapsed="false">
      <c r="C483" s="36"/>
    </row>
    <row r="484" s="3" customFormat="true" ht="14" hidden="false" customHeight="false" outlineLevel="0" collapsed="false">
      <c r="C484" s="36"/>
    </row>
    <row r="485" s="3" customFormat="true" ht="14" hidden="false" customHeight="false" outlineLevel="0" collapsed="false">
      <c r="C485" s="36"/>
    </row>
    <row r="486" s="3" customFormat="true" ht="14" hidden="false" customHeight="false" outlineLevel="0" collapsed="false">
      <c r="C486" s="36"/>
    </row>
    <row r="487" s="3" customFormat="true" ht="14" hidden="false" customHeight="false" outlineLevel="0" collapsed="false">
      <c r="C487" s="36"/>
    </row>
    <row r="488" s="3" customFormat="true" ht="14" hidden="false" customHeight="false" outlineLevel="0" collapsed="false">
      <c r="C488" s="36"/>
    </row>
    <row r="489" s="3" customFormat="true" ht="14" hidden="false" customHeight="false" outlineLevel="0" collapsed="false">
      <c r="C489" s="36"/>
    </row>
    <row r="490" s="3" customFormat="true" ht="14" hidden="false" customHeight="false" outlineLevel="0" collapsed="false">
      <c r="C490" s="36"/>
    </row>
    <row r="491" s="3" customFormat="true" ht="14" hidden="false" customHeight="false" outlineLevel="0" collapsed="false">
      <c r="C491" s="36"/>
    </row>
    <row r="492" s="3" customFormat="true" ht="14" hidden="false" customHeight="false" outlineLevel="0" collapsed="false">
      <c r="C492" s="36"/>
    </row>
    <row r="493" s="3" customFormat="true" ht="14" hidden="false" customHeight="false" outlineLevel="0" collapsed="false">
      <c r="C493" s="36"/>
    </row>
    <row r="494" s="3" customFormat="true" ht="14" hidden="false" customHeight="false" outlineLevel="0" collapsed="false">
      <c r="C494" s="36"/>
    </row>
    <row r="495" s="3" customFormat="true" ht="14" hidden="false" customHeight="false" outlineLevel="0" collapsed="false">
      <c r="C495" s="36"/>
    </row>
    <row r="496" s="3" customFormat="true" ht="14" hidden="false" customHeight="false" outlineLevel="0" collapsed="false">
      <c r="C496" s="36"/>
    </row>
    <row r="497" s="3" customFormat="true" ht="14" hidden="false" customHeight="false" outlineLevel="0" collapsed="false">
      <c r="C497" s="36"/>
    </row>
    <row r="498" s="3" customFormat="true" ht="14" hidden="false" customHeight="false" outlineLevel="0" collapsed="false">
      <c r="C498" s="36"/>
    </row>
    <row r="499" s="3" customFormat="true" ht="14" hidden="false" customHeight="false" outlineLevel="0" collapsed="false">
      <c r="C499" s="36"/>
    </row>
    <row r="500" s="3" customFormat="true" ht="14" hidden="false" customHeight="false" outlineLevel="0" collapsed="false">
      <c r="C500" s="36"/>
    </row>
    <row r="501" s="3" customFormat="true" ht="14" hidden="false" customHeight="false" outlineLevel="0" collapsed="false">
      <c r="C501" s="36"/>
    </row>
    <row r="502" s="3" customFormat="true" ht="14" hidden="false" customHeight="false" outlineLevel="0" collapsed="false">
      <c r="C502" s="36"/>
    </row>
    <row r="503" s="3" customFormat="true" ht="14" hidden="false" customHeight="false" outlineLevel="0" collapsed="false">
      <c r="C503" s="36"/>
    </row>
    <row r="504" s="3" customFormat="true" ht="14" hidden="false" customHeight="false" outlineLevel="0" collapsed="false">
      <c r="C504" s="36"/>
    </row>
    <row r="505" s="3" customFormat="true" ht="14" hidden="false" customHeight="false" outlineLevel="0" collapsed="false">
      <c r="C505" s="36"/>
    </row>
    <row r="506" s="3" customFormat="true" ht="14" hidden="false" customHeight="false" outlineLevel="0" collapsed="false">
      <c r="C506" s="36"/>
    </row>
    <row r="507" s="3" customFormat="true" ht="14" hidden="false" customHeight="false" outlineLevel="0" collapsed="false">
      <c r="C507" s="36"/>
    </row>
    <row r="508" s="3" customFormat="true" ht="14" hidden="false" customHeight="false" outlineLevel="0" collapsed="false">
      <c r="C508" s="36"/>
    </row>
    <row r="509" s="3" customFormat="true" ht="14" hidden="false" customHeight="false" outlineLevel="0" collapsed="false">
      <c r="C509" s="36"/>
    </row>
    <row r="510" s="3" customFormat="true" ht="14" hidden="false" customHeight="false" outlineLevel="0" collapsed="false">
      <c r="C510" s="36"/>
    </row>
    <row r="511" s="3" customFormat="true" ht="14" hidden="false" customHeight="false" outlineLevel="0" collapsed="false">
      <c r="C511" s="36"/>
    </row>
    <row r="512" s="3" customFormat="true" ht="14" hidden="false" customHeight="false" outlineLevel="0" collapsed="false">
      <c r="C512" s="36"/>
    </row>
    <row r="513" s="3" customFormat="true" ht="14" hidden="false" customHeight="false" outlineLevel="0" collapsed="false">
      <c r="C513" s="36"/>
    </row>
    <row r="514" s="3" customFormat="true" ht="14" hidden="false" customHeight="false" outlineLevel="0" collapsed="false">
      <c r="C514" s="36"/>
    </row>
    <row r="515" s="3" customFormat="true" ht="14" hidden="false" customHeight="false" outlineLevel="0" collapsed="false">
      <c r="C515" s="36"/>
    </row>
    <row r="516" s="3" customFormat="true" ht="14" hidden="false" customHeight="false" outlineLevel="0" collapsed="false">
      <c r="C516" s="36"/>
    </row>
    <row r="517" s="3" customFormat="true" ht="14" hidden="false" customHeight="false" outlineLevel="0" collapsed="false">
      <c r="C517" s="36"/>
    </row>
    <row r="518" s="3" customFormat="true" ht="14" hidden="false" customHeight="false" outlineLevel="0" collapsed="false">
      <c r="C518" s="36"/>
    </row>
    <row r="519" s="3" customFormat="true" ht="14" hidden="false" customHeight="false" outlineLevel="0" collapsed="false">
      <c r="C519" s="36"/>
    </row>
    <row r="520" s="3" customFormat="true" ht="14" hidden="false" customHeight="false" outlineLevel="0" collapsed="false">
      <c r="C520" s="36"/>
    </row>
    <row r="521" s="3" customFormat="true" ht="14" hidden="false" customHeight="false" outlineLevel="0" collapsed="false">
      <c r="C521" s="36"/>
    </row>
    <row r="522" s="3" customFormat="true" ht="14" hidden="false" customHeight="false" outlineLevel="0" collapsed="false">
      <c r="C522" s="36"/>
    </row>
    <row r="523" s="3" customFormat="true" ht="14" hidden="false" customHeight="false" outlineLevel="0" collapsed="false">
      <c r="C523" s="36"/>
    </row>
    <row r="524" s="3" customFormat="true" ht="14" hidden="false" customHeight="false" outlineLevel="0" collapsed="false">
      <c r="C524" s="36"/>
    </row>
    <row r="525" s="3" customFormat="true" ht="14" hidden="false" customHeight="false" outlineLevel="0" collapsed="false">
      <c r="C525" s="36"/>
    </row>
    <row r="526" s="3" customFormat="true" ht="14" hidden="false" customHeight="false" outlineLevel="0" collapsed="false">
      <c r="C526" s="36"/>
    </row>
    <row r="527" s="3" customFormat="true" ht="14" hidden="false" customHeight="false" outlineLevel="0" collapsed="false">
      <c r="C527" s="36"/>
    </row>
    <row r="528" s="3" customFormat="true" ht="14" hidden="false" customHeight="false" outlineLevel="0" collapsed="false">
      <c r="C528" s="36"/>
    </row>
    <row r="529" s="3" customFormat="true" ht="14" hidden="false" customHeight="false" outlineLevel="0" collapsed="false">
      <c r="C529" s="36"/>
    </row>
    <row r="530" s="3" customFormat="true" ht="14" hidden="false" customHeight="false" outlineLevel="0" collapsed="false">
      <c r="C530" s="36"/>
    </row>
    <row r="531" s="3" customFormat="true" ht="14" hidden="false" customHeight="false" outlineLevel="0" collapsed="false">
      <c r="C531" s="36"/>
    </row>
    <row r="532" s="3" customFormat="true" ht="14" hidden="false" customHeight="false" outlineLevel="0" collapsed="false">
      <c r="C532" s="36"/>
    </row>
    <row r="533" s="3" customFormat="true" ht="14" hidden="false" customHeight="false" outlineLevel="0" collapsed="false">
      <c r="C533" s="36"/>
    </row>
    <row r="534" s="3" customFormat="true" ht="14" hidden="false" customHeight="false" outlineLevel="0" collapsed="false">
      <c r="C534" s="36"/>
    </row>
    <row r="535" s="3" customFormat="true" ht="14" hidden="false" customHeight="false" outlineLevel="0" collapsed="false">
      <c r="C535" s="36"/>
    </row>
    <row r="536" s="3" customFormat="true" ht="14" hidden="false" customHeight="false" outlineLevel="0" collapsed="false">
      <c r="C536" s="36"/>
    </row>
    <row r="537" s="3" customFormat="true" ht="14" hidden="false" customHeight="false" outlineLevel="0" collapsed="false">
      <c r="C537" s="36"/>
    </row>
    <row r="538" s="3" customFormat="true" ht="14" hidden="false" customHeight="false" outlineLevel="0" collapsed="false">
      <c r="C538" s="36"/>
    </row>
    <row r="539" s="3" customFormat="true" ht="14" hidden="false" customHeight="false" outlineLevel="0" collapsed="false">
      <c r="C539" s="36"/>
    </row>
    <row r="540" s="3" customFormat="true" ht="14" hidden="false" customHeight="false" outlineLevel="0" collapsed="false">
      <c r="C540" s="36"/>
    </row>
    <row r="541" s="3" customFormat="true" ht="14" hidden="false" customHeight="false" outlineLevel="0" collapsed="false">
      <c r="C541" s="36"/>
    </row>
    <row r="542" s="3" customFormat="true" ht="14" hidden="false" customHeight="false" outlineLevel="0" collapsed="false">
      <c r="C542" s="36"/>
    </row>
    <row r="543" s="3" customFormat="true" ht="14" hidden="false" customHeight="false" outlineLevel="0" collapsed="false">
      <c r="C543" s="36"/>
    </row>
    <row r="544" s="3" customFormat="true" ht="14" hidden="false" customHeight="false" outlineLevel="0" collapsed="false">
      <c r="C544" s="36"/>
    </row>
    <row r="545" s="3" customFormat="true" ht="14" hidden="false" customHeight="false" outlineLevel="0" collapsed="false">
      <c r="C545" s="36"/>
    </row>
    <row r="546" s="3" customFormat="true" ht="14" hidden="false" customHeight="false" outlineLevel="0" collapsed="false">
      <c r="C546" s="36"/>
    </row>
    <row r="547" s="3" customFormat="true" ht="14" hidden="false" customHeight="false" outlineLevel="0" collapsed="false">
      <c r="C547" s="36"/>
    </row>
    <row r="548" s="3" customFormat="true" ht="14" hidden="false" customHeight="false" outlineLevel="0" collapsed="false">
      <c r="C548" s="36"/>
    </row>
    <row r="549" s="3" customFormat="true" ht="14" hidden="false" customHeight="false" outlineLevel="0" collapsed="false">
      <c r="C549" s="36"/>
    </row>
    <row r="550" s="3" customFormat="true" ht="14" hidden="false" customHeight="false" outlineLevel="0" collapsed="false">
      <c r="C550" s="36"/>
    </row>
    <row r="551" s="3" customFormat="true" ht="14" hidden="false" customHeight="false" outlineLevel="0" collapsed="false">
      <c r="C551" s="36"/>
    </row>
    <row r="552" s="3" customFormat="true" ht="14" hidden="false" customHeight="false" outlineLevel="0" collapsed="false">
      <c r="C552" s="36"/>
    </row>
    <row r="553" s="3" customFormat="true" ht="14" hidden="false" customHeight="false" outlineLevel="0" collapsed="false">
      <c r="C553" s="36"/>
    </row>
    <row r="554" s="3" customFormat="true" ht="14" hidden="false" customHeight="false" outlineLevel="0" collapsed="false">
      <c r="C554" s="36"/>
    </row>
    <row r="555" s="3" customFormat="true" ht="14" hidden="false" customHeight="false" outlineLevel="0" collapsed="false">
      <c r="C555" s="36"/>
    </row>
    <row r="556" s="3" customFormat="true" ht="14" hidden="false" customHeight="false" outlineLevel="0" collapsed="false">
      <c r="C556" s="36"/>
    </row>
    <row r="557" s="3" customFormat="true" ht="14" hidden="false" customHeight="false" outlineLevel="0" collapsed="false">
      <c r="C557" s="36"/>
    </row>
    <row r="558" s="3" customFormat="true" ht="14" hidden="false" customHeight="false" outlineLevel="0" collapsed="false">
      <c r="C558" s="36"/>
    </row>
    <row r="559" s="3" customFormat="true" ht="14" hidden="false" customHeight="false" outlineLevel="0" collapsed="false">
      <c r="C559" s="36"/>
    </row>
    <row r="560" s="3" customFormat="true" ht="14" hidden="false" customHeight="false" outlineLevel="0" collapsed="false">
      <c r="C560" s="36"/>
    </row>
    <row r="561" s="3" customFormat="true" ht="14" hidden="false" customHeight="false" outlineLevel="0" collapsed="false">
      <c r="C561" s="36"/>
    </row>
    <row r="562" s="3" customFormat="true" ht="14" hidden="false" customHeight="false" outlineLevel="0" collapsed="false">
      <c r="C562" s="36"/>
    </row>
    <row r="563" s="3" customFormat="true" ht="14" hidden="false" customHeight="false" outlineLevel="0" collapsed="false">
      <c r="C563" s="36"/>
    </row>
    <row r="564" s="3" customFormat="true" ht="14" hidden="false" customHeight="false" outlineLevel="0" collapsed="false">
      <c r="C564" s="36"/>
    </row>
    <row r="565" s="3" customFormat="true" ht="14" hidden="false" customHeight="false" outlineLevel="0" collapsed="false">
      <c r="C565" s="36"/>
    </row>
    <row r="566" s="3" customFormat="true" ht="14" hidden="false" customHeight="false" outlineLevel="0" collapsed="false">
      <c r="C566" s="36"/>
    </row>
    <row r="567" s="3" customFormat="true" ht="14" hidden="false" customHeight="false" outlineLevel="0" collapsed="false">
      <c r="C567" s="36"/>
    </row>
    <row r="568" s="3" customFormat="true" ht="14" hidden="false" customHeight="false" outlineLevel="0" collapsed="false">
      <c r="C568" s="36"/>
    </row>
    <row r="569" s="3" customFormat="true" ht="14" hidden="false" customHeight="false" outlineLevel="0" collapsed="false">
      <c r="C569" s="36"/>
    </row>
    <row r="570" s="3" customFormat="true" ht="14" hidden="false" customHeight="false" outlineLevel="0" collapsed="false">
      <c r="C570" s="36"/>
    </row>
    <row r="571" s="3" customFormat="true" ht="14" hidden="false" customHeight="false" outlineLevel="0" collapsed="false">
      <c r="C571" s="36"/>
    </row>
    <row r="572" s="3" customFormat="true" ht="14" hidden="false" customHeight="false" outlineLevel="0" collapsed="false">
      <c r="C572" s="36"/>
    </row>
    <row r="573" s="3" customFormat="true" ht="14" hidden="false" customHeight="false" outlineLevel="0" collapsed="false">
      <c r="C573" s="36"/>
    </row>
    <row r="574" s="3" customFormat="true" ht="14" hidden="false" customHeight="false" outlineLevel="0" collapsed="false">
      <c r="C574" s="36"/>
    </row>
    <row r="575" s="3" customFormat="true" ht="14" hidden="false" customHeight="false" outlineLevel="0" collapsed="false">
      <c r="C575" s="36"/>
    </row>
    <row r="576" s="3" customFormat="true" ht="14" hidden="false" customHeight="false" outlineLevel="0" collapsed="false">
      <c r="C576" s="36"/>
    </row>
    <row r="577" s="3" customFormat="true" ht="14" hidden="false" customHeight="false" outlineLevel="0" collapsed="false">
      <c r="C577" s="36"/>
    </row>
    <row r="578" s="3" customFormat="true" ht="14" hidden="false" customHeight="false" outlineLevel="0" collapsed="false">
      <c r="C578" s="36"/>
    </row>
    <row r="579" s="3" customFormat="true" ht="14" hidden="false" customHeight="false" outlineLevel="0" collapsed="false">
      <c r="C579" s="36"/>
    </row>
    <row r="580" s="3" customFormat="true" ht="14" hidden="false" customHeight="false" outlineLevel="0" collapsed="false">
      <c r="C580" s="36"/>
    </row>
    <row r="581" s="3" customFormat="true" ht="14" hidden="false" customHeight="false" outlineLevel="0" collapsed="false">
      <c r="C581" s="36"/>
    </row>
    <row r="582" s="3" customFormat="true" ht="14" hidden="false" customHeight="false" outlineLevel="0" collapsed="false">
      <c r="C582" s="36"/>
    </row>
    <row r="583" s="3" customFormat="true" ht="14" hidden="false" customHeight="false" outlineLevel="0" collapsed="false">
      <c r="C583" s="36"/>
    </row>
    <row r="584" s="3" customFormat="true" ht="14" hidden="false" customHeight="false" outlineLevel="0" collapsed="false">
      <c r="C584" s="36"/>
    </row>
    <row r="585" s="3" customFormat="true" ht="14" hidden="false" customHeight="false" outlineLevel="0" collapsed="false">
      <c r="C585" s="36"/>
    </row>
    <row r="586" s="3" customFormat="true" ht="14" hidden="false" customHeight="false" outlineLevel="0" collapsed="false">
      <c r="C586" s="36"/>
    </row>
    <row r="587" s="3" customFormat="true" ht="14" hidden="false" customHeight="false" outlineLevel="0" collapsed="false">
      <c r="C587" s="36"/>
    </row>
    <row r="588" s="3" customFormat="true" ht="14" hidden="false" customHeight="false" outlineLevel="0" collapsed="false">
      <c r="C588" s="36"/>
    </row>
    <row r="589" s="3" customFormat="true" ht="14" hidden="false" customHeight="false" outlineLevel="0" collapsed="false">
      <c r="C589" s="36"/>
    </row>
    <row r="590" s="3" customFormat="true" ht="14" hidden="false" customHeight="false" outlineLevel="0" collapsed="false">
      <c r="C590" s="36"/>
    </row>
    <row r="591" s="3" customFormat="true" ht="14" hidden="false" customHeight="false" outlineLevel="0" collapsed="false">
      <c r="C591" s="36"/>
    </row>
    <row r="592" s="3" customFormat="true" ht="14" hidden="false" customHeight="false" outlineLevel="0" collapsed="false">
      <c r="C592" s="36"/>
    </row>
    <row r="593" s="3" customFormat="true" ht="14" hidden="false" customHeight="false" outlineLevel="0" collapsed="false">
      <c r="C593" s="36"/>
    </row>
    <row r="594" s="3" customFormat="true" ht="14" hidden="false" customHeight="false" outlineLevel="0" collapsed="false">
      <c r="C594" s="36"/>
    </row>
    <row r="595" s="3" customFormat="true" ht="14" hidden="false" customHeight="false" outlineLevel="0" collapsed="false">
      <c r="C595" s="36"/>
    </row>
    <row r="596" s="3" customFormat="true" ht="14" hidden="false" customHeight="false" outlineLevel="0" collapsed="false">
      <c r="C596" s="36"/>
    </row>
    <row r="597" s="3" customFormat="true" ht="14" hidden="false" customHeight="false" outlineLevel="0" collapsed="false">
      <c r="C597" s="36"/>
    </row>
    <row r="598" s="3" customFormat="true" ht="14" hidden="false" customHeight="false" outlineLevel="0" collapsed="false">
      <c r="C598" s="36"/>
    </row>
    <row r="599" s="3" customFormat="true" ht="14" hidden="false" customHeight="false" outlineLevel="0" collapsed="false">
      <c r="C599" s="36"/>
    </row>
  </sheetData>
  <sheetProtection sheet="true" objects="true" scenarios="true"/>
  <mergeCells count="8">
    <mergeCell ref="B3:E3"/>
    <mergeCell ref="E5:G5"/>
    <mergeCell ref="E6:G6"/>
    <mergeCell ref="E7:G7"/>
    <mergeCell ref="E8:G8"/>
    <mergeCell ref="E9:G9"/>
    <mergeCell ref="E10:G10"/>
    <mergeCell ref="E11:G11"/>
  </mergeCells>
  <conditionalFormatting sqref="C7:C11">
    <cfRule type="containsText" priority="2" operator="containsText" aboveAverage="0" equalAverage="0" bottom="0" percent="0" rank="0" text="Verified" dxfId="0">
      <formula>NOT(ISERROR(SEARCH("Verified",C7)))</formula>
    </cfRule>
    <cfRule type="containsText" priority="3" operator="containsText" aboveAverage="0" equalAverage="0" bottom="0" percent="0" rank="0" text="Not Complete" dxfId="1">
      <formula>NOT(ISERROR(SEARCH("Not Complete",C7)))</formula>
    </cfRule>
  </conditionalFormatting>
  <dataValidations count="1">
    <dataValidation allowBlank="true" operator="between" showDropDown="false" showErrorMessage="true" showInputMessage="true" sqref="C7:C11" type="list">
      <formula1>"Verified,Not Complete"</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N260"/>
  <sheetViews>
    <sheetView showFormulas="false" showGridLines="true" showRowColHeaders="true" showZeros="true" rightToLeft="false" tabSelected="false" showOutlineSymbols="true" defaultGridColor="true" view="normal" topLeftCell="C1" colorId="64" zoomScale="130" zoomScaleNormal="130" zoomScalePageLayoutView="100" workbookViewId="0">
      <pane xSplit="0" ySplit="3" topLeftCell="A4" activePane="bottomLeft" state="frozen"/>
      <selection pane="topLeft" activeCell="C1" activeCellId="0" sqref="C1"/>
      <selection pane="bottomLeft" activeCell="L15" activeCellId="0" sqref="L15"/>
    </sheetView>
  </sheetViews>
  <sheetFormatPr defaultColWidth="8.83984375" defaultRowHeight="13" zeroHeight="false" outlineLevelRow="0" outlineLevelCol="0"/>
  <cols>
    <col collapsed="false" customWidth="true" hidden="false" outlineLevel="0" max="1" min="1" style="37" width="24.34"/>
    <col collapsed="false" customWidth="true" hidden="false" outlineLevel="0" max="2" min="2" style="37" width="42.83"/>
    <col collapsed="false" customWidth="true" hidden="false" outlineLevel="0" max="3" min="3" style="37" width="24.83"/>
    <col collapsed="false" customWidth="true" hidden="false" outlineLevel="0" max="5" min="4" style="37" width="6.35"/>
    <col collapsed="false" customWidth="true" hidden="false" outlineLevel="0" max="6" min="6" style="37" width="9.33"/>
    <col collapsed="false" customWidth="true" hidden="false" outlineLevel="0" max="7" min="7" style="37" width="4.83"/>
    <col collapsed="false" customWidth="true" hidden="false" outlineLevel="0" max="8" min="8" style="37" width="21.83"/>
    <col collapsed="false" customWidth="true" hidden="false" outlineLevel="0" max="10" min="9" style="37" width="7.34"/>
    <col collapsed="false" customWidth="true" hidden="false" outlineLevel="0" max="11" min="11" style="38" width="16.83"/>
    <col collapsed="false" customWidth="true" hidden="false" outlineLevel="0" max="12" min="12" style="38" width="34.83"/>
    <col collapsed="false" customWidth="true" hidden="false" outlineLevel="0" max="13" min="13" style="39" width="9.33"/>
    <col collapsed="false" customWidth="false" hidden="false" outlineLevel="0" max="40" min="14" style="39" width="8.83"/>
    <col collapsed="false" customWidth="false" hidden="false" outlineLevel="0" max="1024" min="41" style="37" width="8.83"/>
  </cols>
  <sheetData>
    <row r="1" customFormat="false" ht="48" hidden="false" customHeight="true" outlineLevel="0" collapsed="false"/>
    <row r="2" s="39" customFormat="true" ht="2" hidden="false" customHeight="true" outlineLevel="0" collapsed="false">
      <c r="K2" s="40"/>
      <c r="L2" s="40"/>
    </row>
    <row r="3" s="43" customFormat="true" ht="32" hidden="false" customHeight="true" outlineLevel="0" collapsed="false">
      <c r="A3" s="41" t="s">
        <v>15</v>
      </c>
      <c r="B3" s="41" t="s">
        <v>16</v>
      </c>
      <c r="C3" s="41" t="s">
        <v>17</v>
      </c>
      <c r="D3" s="41" t="s">
        <v>18</v>
      </c>
      <c r="E3" s="41" t="s">
        <v>19</v>
      </c>
      <c r="F3" s="41" t="s">
        <v>20</v>
      </c>
      <c r="G3" s="41"/>
      <c r="H3" s="41"/>
      <c r="I3" s="41"/>
      <c r="J3" s="41"/>
      <c r="K3" s="41" t="s">
        <v>21</v>
      </c>
      <c r="L3" s="41" t="s">
        <v>22</v>
      </c>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row>
    <row r="4" s="47" customFormat="true" ht="18" hidden="false" customHeight="true" outlineLevel="0" collapsed="false">
      <c r="A4" s="44" t="s">
        <v>23</v>
      </c>
      <c r="B4" s="44"/>
      <c r="C4" s="45"/>
      <c r="D4" s="45"/>
      <c r="E4" s="45"/>
      <c r="F4" s="45"/>
      <c r="G4" s="45"/>
      <c r="H4" s="45"/>
      <c r="I4" s="45"/>
      <c r="J4" s="45"/>
      <c r="K4" s="45"/>
      <c r="L4" s="45"/>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row>
    <row r="5" s="53" customFormat="true" ht="16" hidden="false" customHeight="true" outlineLevel="0" collapsed="false">
      <c r="A5" s="48"/>
      <c r="B5" s="49"/>
      <c r="C5" s="49"/>
      <c r="D5" s="49"/>
      <c r="E5" s="49"/>
      <c r="F5" s="49"/>
      <c r="G5" s="49"/>
      <c r="H5" s="49"/>
      <c r="I5" s="50"/>
      <c r="J5" s="50"/>
      <c r="K5" s="51"/>
      <c r="L5" s="51"/>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row>
    <row r="6" s="53" customFormat="true" ht="16" hidden="false" customHeight="true" outlineLevel="0" collapsed="false">
      <c r="A6" s="54"/>
      <c r="B6" s="55"/>
      <c r="C6" s="55"/>
      <c r="D6" s="55"/>
      <c r="E6" s="55"/>
      <c r="F6" s="56"/>
      <c r="G6" s="57"/>
      <c r="H6" s="58"/>
      <c r="I6" s="59"/>
      <c r="J6" s="60"/>
      <c r="K6" s="61" t="s">
        <v>24</v>
      </c>
      <c r="L6" s="62"/>
      <c r="M6" s="63"/>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row>
    <row r="7" s="53" customFormat="true" ht="16" hidden="false" customHeight="true" outlineLevel="0" collapsed="false">
      <c r="A7" s="54"/>
      <c r="B7" s="55"/>
      <c r="C7" s="55"/>
      <c r="D7" s="55"/>
      <c r="E7" s="55"/>
      <c r="F7" s="56"/>
      <c r="G7" s="57"/>
      <c r="H7" s="58"/>
      <c r="I7" s="59"/>
      <c r="J7" s="60"/>
      <c r="K7" s="61" t="s">
        <v>25</v>
      </c>
      <c r="L7" s="6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row>
    <row r="8" s="53" customFormat="true" ht="16" hidden="false" customHeight="true" outlineLevel="0" collapsed="false">
      <c r="A8" s="55" t="str">
        <f aca="false">'Deploy Parameters'!$F$12</f>
        <v>gbb-m01-vc01</v>
      </c>
      <c r="B8" s="55" t="s">
        <v>26</v>
      </c>
      <c r="C8" s="64" t="s">
        <v>27</v>
      </c>
      <c r="D8" s="65" t="n">
        <v>4</v>
      </c>
      <c r="E8" s="65" t="n">
        <v>19</v>
      </c>
      <c r="F8" s="66" t="n">
        <v>462.08</v>
      </c>
      <c r="G8" s="67"/>
      <c r="H8" s="68" t="n">
        <v>0</v>
      </c>
      <c r="I8" s="69"/>
      <c r="J8" s="70"/>
      <c r="K8" s="71" t="n">
        <v>7</v>
      </c>
      <c r="L8" s="6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row>
    <row r="9" s="53" customFormat="true" ht="16" hidden="false" customHeight="true" outlineLevel="0" collapsed="false">
      <c r="A9" s="64" t="str">
        <f aca="false">'Deploy Parameters'!$F$29</f>
        <v>gbb-m01-nsx01</v>
      </c>
      <c r="B9" s="55" t="s">
        <v>28</v>
      </c>
      <c r="C9" s="64" t="s">
        <v>27</v>
      </c>
      <c r="D9" s="65" t="s">
        <v>29</v>
      </c>
      <c r="E9" s="65" t="s">
        <v>29</v>
      </c>
      <c r="F9" s="66" t="s">
        <v>29</v>
      </c>
      <c r="G9" s="67"/>
      <c r="H9" s="68"/>
      <c r="I9" s="69"/>
      <c r="J9" s="70"/>
      <c r="K9" s="72" t="n">
        <v>3.1</v>
      </c>
      <c r="L9" s="6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row>
    <row r="10" s="53" customFormat="true" ht="16" hidden="false" customHeight="true" outlineLevel="0" collapsed="false">
      <c r="A10" s="64" t="str">
        <f aca="false">'Deploy Parameters'!F30</f>
        <v>gbb-m01-nsx01a</v>
      </c>
      <c r="B10" s="55" t="s">
        <v>30</v>
      </c>
      <c r="C10" s="64" t="s">
        <v>27</v>
      </c>
      <c r="D10" s="65" t="n">
        <v>6</v>
      </c>
      <c r="E10" s="65" t="n">
        <v>24</v>
      </c>
      <c r="F10" s="66" t="n">
        <v>200</v>
      </c>
      <c r="G10" s="67"/>
      <c r="H10" s="68"/>
      <c r="I10" s="69"/>
      <c r="J10" s="70"/>
      <c r="K10" s="72"/>
      <c r="L10" s="6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row>
    <row r="11" s="53" customFormat="true" ht="16" hidden="false" customHeight="true" outlineLevel="0" collapsed="false">
      <c r="A11" s="64" t="str">
        <f aca="false">'Deploy Parameters'!F31</f>
        <v>gbb-m01-nsx01b</v>
      </c>
      <c r="B11" s="55" t="s">
        <v>31</v>
      </c>
      <c r="C11" s="64" t="s">
        <v>27</v>
      </c>
      <c r="D11" s="65" t="n">
        <f aca="false">D10</f>
        <v>6</v>
      </c>
      <c r="E11" s="65" t="n">
        <f aca="false">E10</f>
        <v>24</v>
      </c>
      <c r="F11" s="66" t="n">
        <f aca="false">F10</f>
        <v>200</v>
      </c>
      <c r="G11" s="67"/>
      <c r="H11" s="68"/>
      <c r="I11" s="69"/>
      <c r="J11" s="70"/>
      <c r="K11" s="72"/>
      <c r="L11" s="6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row>
    <row r="12" s="53" customFormat="true" ht="16" hidden="false" customHeight="true" outlineLevel="0" collapsed="false">
      <c r="A12" s="64" t="str">
        <f aca="false">'Deploy Parameters'!F32</f>
        <v>gbb-m01-nsx01c</v>
      </c>
      <c r="B12" s="55" t="s">
        <v>32</v>
      </c>
      <c r="C12" s="64" t="s">
        <v>27</v>
      </c>
      <c r="D12" s="65" t="n">
        <f aca="false">D10</f>
        <v>6</v>
      </c>
      <c r="E12" s="65" t="n">
        <f aca="false">E10</f>
        <v>24</v>
      </c>
      <c r="F12" s="66" t="n">
        <f aca="false">F10</f>
        <v>200</v>
      </c>
      <c r="G12" s="67"/>
      <c r="H12" s="68"/>
      <c r="I12" s="69"/>
      <c r="J12" s="70"/>
      <c r="K12" s="72"/>
      <c r="L12" s="6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row>
    <row r="13" s="53" customFormat="true" ht="16" hidden="false" customHeight="true" outlineLevel="0" collapsed="false">
      <c r="A13" s="64" t="str">
        <f aca="false">'Deploy Parameters'!F41</f>
        <v>gbb-m01-en01</v>
      </c>
      <c r="B13" s="55" t="s">
        <v>33</v>
      </c>
      <c r="C13" s="64" t="s">
        <v>27</v>
      </c>
      <c r="D13" s="65" t="n">
        <v>4</v>
      </c>
      <c r="E13" s="65" t="n">
        <v>8</v>
      </c>
      <c r="F13" s="66" t="n">
        <v>200</v>
      </c>
      <c r="G13" s="67"/>
      <c r="H13" s="68"/>
      <c r="I13" s="69"/>
      <c r="J13" s="70"/>
      <c r="K13" s="72"/>
      <c r="L13" s="7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row>
    <row r="14" s="53" customFormat="true" ht="16" hidden="false" customHeight="true" outlineLevel="0" collapsed="false">
      <c r="A14" s="64" t="str">
        <f aca="false">'Deploy Parameters'!F48</f>
        <v>gbb-m01-en02</v>
      </c>
      <c r="B14" s="55" t="s">
        <v>34</v>
      </c>
      <c r="C14" s="64" t="s">
        <v>27</v>
      </c>
      <c r="D14" s="65" t="n">
        <v>4</v>
      </c>
      <c r="E14" s="65" t="n">
        <v>8</v>
      </c>
      <c r="F14" s="66" t="n">
        <v>200</v>
      </c>
      <c r="G14" s="67"/>
      <c r="H14" s="68"/>
      <c r="I14" s="69"/>
      <c r="J14" s="70"/>
      <c r="K14" s="72"/>
      <c r="L14" s="7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row>
    <row r="15" s="53" customFormat="true" ht="16" hidden="false" customHeight="true" outlineLevel="0" collapsed="false">
      <c r="A15" s="64" t="str">
        <f aca="false">'Deploy Parameters'!F56</f>
        <v>gbb-vcf01</v>
      </c>
      <c r="B15" s="55" t="s">
        <v>35</v>
      </c>
      <c r="C15" s="64" t="s">
        <v>27</v>
      </c>
      <c r="D15" s="65" t="n">
        <v>4</v>
      </c>
      <c r="E15" s="65" t="n">
        <v>16</v>
      </c>
      <c r="F15" s="66" t="n">
        <v>816</v>
      </c>
      <c r="G15" s="66"/>
      <c r="H15" s="73"/>
      <c r="I15" s="74"/>
      <c r="J15" s="61"/>
      <c r="K15" s="71" t="str">
        <f aca="false">RIGHT('Prerequisite Checklist'!G3,5)</f>
        <v>4.2.0</v>
      </c>
      <c r="L15" s="6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row>
    <row r="16" s="53" customFormat="true" ht="16" hidden="false" customHeight="true" outlineLevel="0" collapsed="false">
      <c r="A16" s="75"/>
      <c r="B16" s="76"/>
      <c r="C16" s="77" t="s">
        <v>36</v>
      </c>
      <c r="D16" s="78" t="n">
        <f aca="false">SUM(D8:D15)</f>
        <v>34</v>
      </c>
      <c r="E16" s="78" t="n">
        <f aca="false">SUM(E8:E15)</f>
        <v>123</v>
      </c>
      <c r="F16" s="78" t="n">
        <f aca="false">SUM(F8:F15)</f>
        <v>2278.08</v>
      </c>
      <c r="G16" s="79" t="s">
        <v>37</v>
      </c>
      <c r="H16" s="80"/>
      <c r="I16" s="81"/>
      <c r="J16" s="81"/>
      <c r="K16" s="82"/>
      <c r="L16" s="81"/>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row>
    <row r="17" s="52" customFormat="true" ht="6" hidden="false" customHeight="true" outlineLevel="0" collapsed="false">
      <c r="F17" s="83"/>
      <c r="H17" s="83"/>
      <c r="K17" s="83"/>
      <c r="L17" s="83"/>
    </row>
    <row r="18" s="52" customFormat="true" ht="16" hidden="false" customHeight="true" outlineLevel="0" collapsed="false">
      <c r="C18" s="84" t="s">
        <v>38</v>
      </c>
      <c r="D18" s="84"/>
      <c r="E18" s="84"/>
      <c r="F18" s="84"/>
      <c r="G18" s="84"/>
      <c r="H18" s="84"/>
      <c r="I18" s="84"/>
      <c r="J18" s="85"/>
      <c r="K18" s="83"/>
      <c r="L18" s="83"/>
    </row>
    <row r="19" s="52" customFormat="true" ht="16" hidden="false" customHeight="true" outlineLevel="0" collapsed="false">
      <c r="D19" s="86" t="s">
        <v>39</v>
      </c>
      <c r="E19" s="86" t="s">
        <v>19</v>
      </c>
      <c r="F19" s="86" t="s">
        <v>40</v>
      </c>
      <c r="I19" s="78"/>
      <c r="J19" s="78"/>
      <c r="K19" s="83"/>
      <c r="L19" s="83"/>
    </row>
    <row r="20" s="52" customFormat="true" ht="16" hidden="false" customHeight="true" outlineLevel="0" collapsed="false">
      <c r="C20" s="79" t="s">
        <v>41</v>
      </c>
      <c r="D20" s="87" t="n">
        <f aca="false">SUM(D16)</f>
        <v>34</v>
      </c>
      <c r="E20" s="87" t="n">
        <f aca="false">SUM(E16)</f>
        <v>123</v>
      </c>
      <c r="F20" s="87" t="n">
        <f aca="false">SUM(F16)</f>
        <v>2278.08</v>
      </c>
      <c r="I20" s="81"/>
      <c r="J20" s="81"/>
      <c r="K20" s="83"/>
      <c r="L20" s="83"/>
    </row>
    <row r="21" s="52" customFormat="true" ht="16" hidden="false" customHeight="true" outlineLevel="0" collapsed="false">
      <c r="C21" s="79" t="s">
        <v>42</v>
      </c>
      <c r="D21" s="83"/>
      <c r="E21" s="83"/>
      <c r="F21" s="83" t="n">
        <f aca="false">ROUNDUP(F20*1.3,0)</f>
        <v>2962</v>
      </c>
      <c r="I21" s="83"/>
      <c r="J21" s="83"/>
      <c r="K21" s="83"/>
      <c r="L21" s="83"/>
    </row>
    <row r="22" s="52" customFormat="true" ht="6" hidden="false" customHeight="true" outlineLevel="0" collapsed="false">
      <c r="K22" s="83"/>
      <c r="L22" s="83"/>
    </row>
    <row r="23" s="52" customFormat="true" ht="16" hidden="false" customHeight="true" outlineLevel="0" collapsed="false">
      <c r="C23" s="88" t="s">
        <v>43</v>
      </c>
      <c r="D23" s="88"/>
      <c r="E23" s="88"/>
      <c r="F23" s="88"/>
      <c r="H23" s="89" t="s">
        <v>44</v>
      </c>
      <c r="I23" s="90"/>
      <c r="J23" s="91"/>
      <c r="L23" s="92"/>
    </row>
    <row r="24" s="52" customFormat="true" ht="16" hidden="false" customHeight="true" outlineLevel="0" collapsed="false">
      <c r="C24" s="93" t="s">
        <v>45</v>
      </c>
      <c r="D24" s="93"/>
      <c r="E24" s="81" t="n">
        <v>4</v>
      </c>
      <c r="F24" s="94" t="s">
        <v>46</v>
      </c>
      <c r="H24" s="95" t="s">
        <v>47</v>
      </c>
      <c r="I24" s="96" t="n">
        <f aca="false">(J29*J30)*E24</f>
        <v>0</v>
      </c>
      <c r="J24" s="97" t="s">
        <v>48</v>
      </c>
    </row>
    <row r="25" s="52" customFormat="true" ht="16" hidden="false" customHeight="true" outlineLevel="0" collapsed="false">
      <c r="C25" s="93" t="s">
        <v>49</v>
      </c>
      <c r="D25" s="93"/>
      <c r="E25" s="81" t="n">
        <v>1</v>
      </c>
      <c r="F25" s="94" t="s">
        <v>46</v>
      </c>
      <c r="H25" s="95" t="s">
        <v>50</v>
      </c>
      <c r="I25" s="81" t="n">
        <f aca="false">E25</f>
        <v>1</v>
      </c>
      <c r="J25" s="97" t="s">
        <v>46</v>
      </c>
    </row>
    <row r="26" s="52" customFormat="true" ht="16" hidden="false" customHeight="true" outlineLevel="0" collapsed="false">
      <c r="C26" s="98" t="s">
        <v>51</v>
      </c>
      <c r="D26" s="98"/>
      <c r="E26" s="87" t="n">
        <f aca="false">E24-E25</f>
        <v>3</v>
      </c>
      <c r="F26" s="99" t="s">
        <v>46</v>
      </c>
      <c r="H26" s="95" t="s">
        <v>52</v>
      </c>
      <c r="I26" s="96" t="n">
        <v>15</v>
      </c>
      <c r="J26" s="97" t="s">
        <v>53</v>
      </c>
    </row>
    <row r="27" s="52" customFormat="true" ht="16" hidden="false" customHeight="true" outlineLevel="0" collapsed="false">
      <c r="H27" s="95" t="s">
        <v>54</v>
      </c>
      <c r="I27" s="96" t="n">
        <f aca="false">((I24/100*I26)+I24)/E24</f>
        <v>0</v>
      </c>
      <c r="J27" s="97" t="s">
        <v>48</v>
      </c>
    </row>
    <row r="28" s="52" customFormat="true" ht="16" hidden="false" customHeight="true" outlineLevel="0" collapsed="false">
      <c r="C28" s="88" t="s">
        <v>55</v>
      </c>
      <c r="D28" s="88"/>
      <c r="E28" s="88"/>
      <c r="F28" s="88"/>
      <c r="H28" s="100" t="s">
        <v>56</v>
      </c>
      <c r="I28" s="84" t="s">
        <v>57</v>
      </c>
      <c r="J28" s="101" t="s">
        <v>58</v>
      </c>
      <c r="M28" s="76"/>
      <c r="N28" s="76"/>
    </row>
    <row r="29" s="52" customFormat="true" ht="16" hidden="false" customHeight="true" outlineLevel="0" collapsed="false">
      <c r="C29" s="93" t="s">
        <v>59</v>
      </c>
      <c r="D29" s="93"/>
      <c r="E29" s="102" t="n">
        <f aca="false">$E$20/$E$24</f>
        <v>30.75</v>
      </c>
      <c r="F29" s="94" t="s">
        <v>48</v>
      </c>
      <c r="H29" s="103" t="s">
        <v>60</v>
      </c>
      <c r="I29" s="104" t="n">
        <v>372</v>
      </c>
      <c r="J29" s="105" t="n">
        <v>0</v>
      </c>
      <c r="M29" s="76"/>
      <c r="N29" s="76"/>
    </row>
    <row r="30" s="52" customFormat="true" ht="16" hidden="false" customHeight="true" outlineLevel="0" collapsed="false">
      <c r="C30" s="93" t="s">
        <v>61</v>
      </c>
      <c r="D30" s="93"/>
      <c r="E30" s="106" t="n">
        <v>192</v>
      </c>
      <c r="F30" s="94" t="s">
        <v>48</v>
      </c>
      <c r="H30" s="95" t="s">
        <v>62</v>
      </c>
      <c r="I30" s="107" t="n">
        <v>3</v>
      </c>
      <c r="J30" s="108" t="n">
        <v>0</v>
      </c>
      <c r="M30" s="76"/>
      <c r="N30" s="76"/>
    </row>
    <row r="31" s="52" customFormat="true" ht="16" hidden="false" customHeight="true" outlineLevel="0" collapsed="false">
      <c r="C31" s="93" t="s">
        <v>63</v>
      </c>
      <c r="D31" s="93"/>
      <c r="E31" s="109" t="n">
        <f aca="false">$E$29/$E$30*100</f>
        <v>16.015625</v>
      </c>
      <c r="F31" s="94" t="s">
        <v>53</v>
      </c>
      <c r="H31" s="95" t="s">
        <v>64</v>
      </c>
      <c r="I31" s="76" t="n">
        <f aca="false">(I29*I30)+(J29*J30)</f>
        <v>1116</v>
      </c>
      <c r="J31" s="94" t="s">
        <v>48</v>
      </c>
      <c r="M31" s="76"/>
      <c r="N31" s="76"/>
    </row>
    <row r="32" s="52" customFormat="true" ht="16" hidden="false" customHeight="true" outlineLevel="0" collapsed="false">
      <c r="C32" s="93" t="s">
        <v>65</v>
      </c>
      <c r="D32" s="93"/>
      <c r="E32" s="76" t="n">
        <f aca="false">$E$20/$E$26</f>
        <v>41</v>
      </c>
      <c r="F32" s="94" t="s">
        <v>48</v>
      </c>
      <c r="H32" s="110" t="s">
        <v>66</v>
      </c>
      <c r="I32" s="111" t="n">
        <f aca="false">I31*E24</f>
        <v>4464</v>
      </c>
      <c r="J32" s="99" t="s">
        <v>48</v>
      </c>
      <c r="M32" s="76"/>
      <c r="N32" s="76"/>
    </row>
    <row r="33" s="52" customFormat="true" ht="16" hidden="false" customHeight="true" outlineLevel="0" collapsed="false">
      <c r="C33" s="98" t="s">
        <v>67</v>
      </c>
      <c r="D33" s="98"/>
      <c r="E33" s="112" t="n">
        <f aca="false">$E$32/$E$30*100</f>
        <v>21.3541666666667</v>
      </c>
      <c r="F33" s="99" t="s">
        <v>53</v>
      </c>
      <c r="K33" s="96"/>
      <c r="L33" s="96"/>
      <c r="M33" s="76"/>
      <c r="N33" s="76"/>
    </row>
    <row r="34" s="52" customFormat="true" ht="16" hidden="false" customHeight="true" outlineLevel="0" collapsed="false">
      <c r="G34" s="113"/>
      <c r="H34" s="113"/>
      <c r="I34" s="76"/>
      <c r="J34" s="76"/>
      <c r="K34" s="78"/>
      <c r="L34" s="78"/>
      <c r="M34" s="76"/>
      <c r="N34" s="76"/>
    </row>
    <row r="35" s="52" customFormat="true" ht="16" hidden="false" customHeight="true" outlineLevel="0" collapsed="false">
      <c r="C35" s="88" t="s">
        <v>68</v>
      </c>
      <c r="D35" s="88"/>
      <c r="E35" s="88"/>
      <c r="F35" s="88"/>
      <c r="G35" s="102"/>
      <c r="H35" s="76"/>
      <c r="I35" s="76"/>
      <c r="J35" s="76"/>
      <c r="K35" s="96"/>
      <c r="L35" s="96"/>
      <c r="M35" s="76"/>
      <c r="N35" s="76"/>
    </row>
    <row r="36" s="52" customFormat="true" ht="16" hidden="false" customHeight="true" outlineLevel="0" collapsed="false">
      <c r="C36" s="95"/>
      <c r="D36" s="93" t="s">
        <v>69</v>
      </c>
      <c r="E36" s="106" t="n">
        <v>2</v>
      </c>
      <c r="F36" s="94" t="s">
        <v>70</v>
      </c>
      <c r="G36" s="102"/>
      <c r="H36" s="76"/>
      <c r="I36" s="76"/>
      <c r="J36" s="76"/>
      <c r="K36" s="96"/>
      <c r="L36" s="96"/>
      <c r="M36" s="76"/>
      <c r="N36" s="76"/>
    </row>
    <row r="37" s="52" customFormat="true" ht="16" hidden="false" customHeight="true" outlineLevel="0" collapsed="false">
      <c r="C37" s="95"/>
      <c r="D37" s="93" t="s">
        <v>71</v>
      </c>
      <c r="E37" s="106" t="n">
        <v>14</v>
      </c>
      <c r="F37" s="94" t="s">
        <v>72</v>
      </c>
      <c r="G37" s="76"/>
      <c r="H37" s="76"/>
      <c r="I37" s="76"/>
      <c r="J37" s="76"/>
      <c r="K37" s="81"/>
      <c r="L37" s="81"/>
      <c r="M37" s="76"/>
      <c r="N37" s="76"/>
    </row>
    <row r="38" s="52" customFormat="true" ht="16" hidden="false" customHeight="true" outlineLevel="0" collapsed="false">
      <c r="C38" s="95"/>
      <c r="D38" s="93" t="s">
        <v>61</v>
      </c>
      <c r="E38" s="102" t="n">
        <f aca="false">$E$36*$E$37</f>
        <v>28</v>
      </c>
      <c r="F38" s="94" t="s">
        <v>72</v>
      </c>
      <c r="G38" s="76"/>
      <c r="H38" s="76"/>
      <c r="I38" s="76"/>
      <c r="J38" s="76"/>
      <c r="K38" s="81"/>
      <c r="L38" s="81"/>
      <c r="M38" s="76"/>
      <c r="N38" s="76"/>
    </row>
    <row r="39" s="52" customFormat="true" ht="16" hidden="false" customHeight="true" outlineLevel="0" collapsed="false">
      <c r="C39" s="95"/>
      <c r="D39" s="93" t="s">
        <v>73</v>
      </c>
      <c r="E39" s="102" t="n">
        <f aca="false">$E$38*$E$24</f>
        <v>112</v>
      </c>
      <c r="F39" s="94" t="s">
        <v>72</v>
      </c>
      <c r="K39" s="83"/>
      <c r="L39" s="83"/>
    </row>
    <row r="40" s="52" customFormat="true" ht="16" hidden="false" customHeight="true" outlineLevel="0" collapsed="false">
      <c r="C40" s="95"/>
      <c r="D40" s="93" t="s">
        <v>74</v>
      </c>
      <c r="E40" s="114" t="n">
        <f aca="false">$D$20/($E$24*$E$38)</f>
        <v>0.303571428571429</v>
      </c>
      <c r="F40" s="94"/>
      <c r="K40" s="83"/>
      <c r="L40" s="83"/>
    </row>
    <row r="41" s="52" customFormat="true" ht="16" hidden="false" customHeight="true" outlineLevel="0" collapsed="false">
      <c r="C41" s="110"/>
      <c r="D41" s="98" t="s">
        <v>75</v>
      </c>
      <c r="E41" s="115" t="n">
        <f aca="false">D20/(E26*E38)</f>
        <v>0.404761904761905</v>
      </c>
      <c r="F41" s="99"/>
      <c r="K41" s="83"/>
      <c r="L41" s="83"/>
    </row>
    <row r="42" s="52" customFormat="true" ht="13" hidden="false" customHeight="false" outlineLevel="0" collapsed="false">
      <c r="K42" s="83"/>
      <c r="L42" s="83"/>
    </row>
    <row r="43" s="52" customFormat="true" ht="13" hidden="false" customHeight="false" outlineLevel="0" collapsed="false">
      <c r="K43" s="83"/>
      <c r="L43" s="83"/>
    </row>
    <row r="44" s="52" customFormat="true" ht="13" hidden="false" customHeight="false" outlineLevel="0" collapsed="false">
      <c r="K44" s="83"/>
      <c r="L44" s="83"/>
    </row>
    <row r="45" s="52" customFormat="true" ht="13" hidden="false" customHeight="false" outlineLevel="0" collapsed="false">
      <c r="K45" s="83"/>
      <c r="L45" s="83"/>
    </row>
    <row r="46" s="52" customFormat="true" ht="13" hidden="false" customHeight="false" outlineLevel="0" collapsed="false">
      <c r="K46" s="83"/>
      <c r="L46" s="83"/>
    </row>
    <row r="47" s="52" customFormat="true" ht="13" hidden="false" customHeight="false" outlineLevel="0" collapsed="false">
      <c r="K47" s="83"/>
      <c r="L47" s="83"/>
    </row>
    <row r="48" s="52" customFormat="true" ht="13" hidden="false" customHeight="false" outlineLevel="0" collapsed="false">
      <c r="K48" s="83"/>
      <c r="L48" s="83"/>
    </row>
    <row r="49" s="52" customFormat="true" ht="13" hidden="false" customHeight="false" outlineLevel="0" collapsed="false">
      <c r="K49" s="83"/>
      <c r="L49" s="83"/>
    </row>
    <row r="50" s="52" customFormat="true" ht="13" hidden="false" customHeight="false" outlineLevel="0" collapsed="false">
      <c r="K50" s="83"/>
      <c r="L50" s="83"/>
    </row>
    <row r="51" s="52" customFormat="true" ht="13" hidden="false" customHeight="false" outlineLevel="0" collapsed="false">
      <c r="K51" s="83"/>
      <c r="L51" s="83"/>
    </row>
    <row r="52" s="52" customFormat="true" ht="13" hidden="false" customHeight="false" outlineLevel="0" collapsed="false">
      <c r="K52" s="83"/>
      <c r="L52" s="83"/>
    </row>
    <row r="53" s="52" customFormat="true" ht="13" hidden="false" customHeight="false" outlineLevel="0" collapsed="false">
      <c r="K53" s="83"/>
      <c r="L53" s="83"/>
    </row>
    <row r="54" s="52" customFormat="true" ht="13" hidden="false" customHeight="false" outlineLevel="0" collapsed="false">
      <c r="K54" s="83"/>
      <c r="L54" s="83"/>
    </row>
    <row r="55" s="52" customFormat="true" ht="13" hidden="false" customHeight="false" outlineLevel="0" collapsed="false">
      <c r="K55" s="83"/>
      <c r="L55" s="83"/>
    </row>
    <row r="56" s="52" customFormat="true" ht="13" hidden="false" customHeight="false" outlineLevel="0" collapsed="false">
      <c r="K56" s="83"/>
      <c r="L56" s="83"/>
    </row>
    <row r="57" s="52" customFormat="true" ht="13" hidden="false" customHeight="false" outlineLevel="0" collapsed="false">
      <c r="K57" s="83"/>
      <c r="L57" s="83"/>
    </row>
    <row r="58" s="52" customFormat="true" ht="13" hidden="false" customHeight="false" outlineLevel="0" collapsed="false">
      <c r="K58" s="83"/>
      <c r="L58" s="83"/>
    </row>
    <row r="59" s="52" customFormat="true" ht="13" hidden="false" customHeight="false" outlineLevel="0" collapsed="false">
      <c r="K59" s="83"/>
      <c r="L59" s="83"/>
    </row>
    <row r="60" s="52" customFormat="true" ht="13" hidden="false" customHeight="false" outlineLevel="0" collapsed="false">
      <c r="K60" s="83"/>
      <c r="L60" s="83"/>
    </row>
    <row r="61" s="52" customFormat="true" ht="13" hidden="false" customHeight="false" outlineLevel="0" collapsed="false">
      <c r="K61" s="83"/>
      <c r="L61" s="83"/>
    </row>
    <row r="62" s="52" customFormat="true" ht="13" hidden="false" customHeight="false" outlineLevel="0" collapsed="false">
      <c r="K62" s="83"/>
      <c r="L62" s="83"/>
    </row>
    <row r="63" s="52" customFormat="true" ht="13" hidden="false" customHeight="false" outlineLevel="0" collapsed="false">
      <c r="K63" s="83"/>
      <c r="L63" s="83"/>
    </row>
    <row r="64" s="52" customFormat="true" ht="13" hidden="false" customHeight="false" outlineLevel="0" collapsed="false">
      <c r="K64" s="83"/>
      <c r="L64" s="83"/>
    </row>
    <row r="65" s="52" customFormat="true" ht="13" hidden="false" customHeight="false" outlineLevel="0" collapsed="false">
      <c r="K65" s="83"/>
      <c r="L65" s="83"/>
    </row>
    <row r="66" s="52" customFormat="true" ht="13" hidden="false" customHeight="false" outlineLevel="0" collapsed="false">
      <c r="K66" s="83"/>
      <c r="L66" s="83"/>
    </row>
    <row r="67" s="52" customFormat="true" ht="13" hidden="false" customHeight="false" outlineLevel="0" collapsed="false">
      <c r="K67" s="83"/>
      <c r="L67" s="83"/>
    </row>
    <row r="68" s="52" customFormat="true" ht="13" hidden="false" customHeight="false" outlineLevel="0" collapsed="false">
      <c r="K68" s="83"/>
      <c r="L68" s="83"/>
    </row>
    <row r="69" s="52" customFormat="true" ht="13" hidden="false" customHeight="false" outlineLevel="0" collapsed="false">
      <c r="K69" s="83"/>
      <c r="L69" s="83"/>
    </row>
    <row r="70" s="52" customFormat="true" ht="13" hidden="false" customHeight="false" outlineLevel="0" collapsed="false">
      <c r="K70" s="83"/>
      <c r="L70" s="83"/>
    </row>
    <row r="71" s="52" customFormat="true" ht="13" hidden="false" customHeight="false" outlineLevel="0" collapsed="false">
      <c r="K71" s="83"/>
      <c r="L71" s="83"/>
    </row>
    <row r="72" s="52" customFormat="true" ht="13" hidden="false" customHeight="false" outlineLevel="0" collapsed="false">
      <c r="K72" s="83"/>
      <c r="L72" s="83"/>
    </row>
    <row r="73" s="52" customFormat="true" ht="13" hidden="false" customHeight="false" outlineLevel="0" collapsed="false">
      <c r="K73" s="83"/>
      <c r="L73" s="83"/>
    </row>
    <row r="74" s="52" customFormat="true" ht="13" hidden="false" customHeight="false" outlineLevel="0" collapsed="false">
      <c r="K74" s="83"/>
      <c r="L74" s="83"/>
    </row>
    <row r="75" s="52" customFormat="true" ht="13" hidden="false" customHeight="false" outlineLevel="0" collapsed="false">
      <c r="K75" s="83"/>
      <c r="L75" s="83"/>
    </row>
    <row r="76" s="52" customFormat="true" ht="13" hidden="false" customHeight="false" outlineLevel="0" collapsed="false">
      <c r="K76" s="83"/>
      <c r="L76" s="83"/>
    </row>
    <row r="77" s="52" customFormat="true" ht="13" hidden="false" customHeight="false" outlineLevel="0" collapsed="false">
      <c r="K77" s="83"/>
      <c r="L77" s="83"/>
    </row>
    <row r="78" s="52" customFormat="true" ht="13" hidden="false" customHeight="false" outlineLevel="0" collapsed="false">
      <c r="K78" s="83"/>
      <c r="L78" s="83"/>
    </row>
    <row r="79" s="52" customFormat="true" ht="13" hidden="false" customHeight="false" outlineLevel="0" collapsed="false">
      <c r="K79" s="83"/>
      <c r="L79" s="83"/>
    </row>
    <row r="80" s="52" customFormat="true" ht="13" hidden="false" customHeight="false" outlineLevel="0" collapsed="false">
      <c r="K80" s="83"/>
      <c r="L80" s="83"/>
    </row>
    <row r="81" s="52" customFormat="true" ht="13" hidden="false" customHeight="false" outlineLevel="0" collapsed="false">
      <c r="K81" s="83"/>
      <c r="L81" s="83"/>
    </row>
    <row r="82" s="52" customFormat="true" ht="13" hidden="false" customHeight="false" outlineLevel="0" collapsed="false">
      <c r="K82" s="83"/>
      <c r="L82" s="83"/>
    </row>
    <row r="83" s="52" customFormat="true" ht="13" hidden="false" customHeight="false" outlineLevel="0" collapsed="false">
      <c r="K83" s="83"/>
      <c r="L83" s="83"/>
    </row>
    <row r="84" s="52" customFormat="true" ht="13" hidden="false" customHeight="false" outlineLevel="0" collapsed="false">
      <c r="K84" s="83"/>
      <c r="L84" s="83"/>
    </row>
    <row r="85" s="52" customFormat="true" ht="13" hidden="false" customHeight="false" outlineLevel="0" collapsed="false">
      <c r="K85" s="83"/>
      <c r="L85" s="83"/>
    </row>
    <row r="86" s="52" customFormat="true" ht="13" hidden="false" customHeight="false" outlineLevel="0" collapsed="false">
      <c r="K86" s="83"/>
      <c r="L86" s="83"/>
    </row>
    <row r="87" s="52" customFormat="true" ht="13" hidden="false" customHeight="false" outlineLevel="0" collapsed="false">
      <c r="K87" s="83"/>
      <c r="L87" s="83"/>
    </row>
    <row r="88" s="52" customFormat="true" ht="13" hidden="false" customHeight="false" outlineLevel="0" collapsed="false">
      <c r="K88" s="83"/>
      <c r="L88" s="83"/>
    </row>
    <row r="89" s="52" customFormat="true" ht="13" hidden="false" customHeight="false" outlineLevel="0" collapsed="false">
      <c r="K89" s="83"/>
      <c r="L89" s="83"/>
    </row>
    <row r="90" s="52" customFormat="true" ht="13" hidden="false" customHeight="false" outlineLevel="0" collapsed="false">
      <c r="K90" s="83"/>
      <c r="L90" s="83"/>
    </row>
    <row r="91" s="52" customFormat="true" ht="13" hidden="false" customHeight="false" outlineLevel="0" collapsed="false">
      <c r="K91" s="83"/>
      <c r="L91" s="83"/>
    </row>
    <row r="92" s="52" customFormat="true" ht="13" hidden="false" customHeight="false" outlineLevel="0" collapsed="false">
      <c r="K92" s="83"/>
      <c r="L92" s="83"/>
    </row>
    <row r="93" s="52" customFormat="true" ht="13" hidden="false" customHeight="false" outlineLevel="0" collapsed="false">
      <c r="K93" s="83"/>
      <c r="L93" s="83"/>
    </row>
    <row r="94" s="52" customFormat="true" ht="13" hidden="false" customHeight="false" outlineLevel="0" collapsed="false">
      <c r="K94" s="83"/>
      <c r="L94" s="83"/>
    </row>
    <row r="95" s="52" customFormat="true" ht="13" hidden="false" customHeight="false" outlineLevel="0" collapsed="false">
      <c r="K95" s="83"/>
      <c r="L95" s="83"/>
    </row>
    <row r="96" s="39" customFormat="true" ht="13" hidden="false" customHeight="false" outlineLevel="0" collapsed="false">
      <c r="K96" s="40"/>
      <c r="L96" s="40"/>
    </row>
    <row r="97" s="39" customFormat="true" ht="13" hidden="false" customHeight="false" outlineLevel="0" collapsed="false">
      <c r="K97" s="40"/>
      <c r="L97" s="40"/>
    </row>
    <row r="98" s="39" customFormat="true" ht="13" hidden="false" customHeight="false" outlineLevel="0" collapsed="false">
      <c r="K98" s="40"/>
      <c r="L98" s="40"/>
    </row>
    <row r="99" s="39" customFormat="true" ht="13" hidden="false" customHeight="false" outlineLevel="0" collapsed="false">
      <c r="K99" s="40"/>
      <c r="L99" s="40"/>
    </row>
    <row r="100" s="39" customFormat="true" ht="13" hidden="false" customHeight="false" outlineLevel="0" collapsed="false">
      <c r="K100" s="40"/>
      <c r="L100" s="40"/>
    </row>
    <row r="101" s="39" customFormat="true" ht="13" hidden="false" customHeight="false" outlineLevel="0" collapsed="false">
      <c r="K101" s="40"/>
      <c r="L101" s="40"/>
    </row>
    <row r="102" s="39" customFormat="true" ht="13" hidden="false" customHeight="false" outlineLevel="0" collapsed="false">
      <c r="K102" s="40"/>
      <c r="L102" s="40"/>
    </row>
    <row r="103" s="39" customFormat="true" ht="13" hidden="false" customHeight="false" outlineLevel="0" collapsed="false">
      <c r="K103" s="40"/>
      <c r="L103" s="40"/>
    </row>
    <row r="104" s="39" customFormat="true" ht="13" hidden="false" customHeight="false" outlineLevel="0" collapsed="false">
      <c r="K104" s="40"/>
      <c r="L104" s="40"/>
    </row>
    <row r="105" s="39" customFormat="true" ht="13" hidden="false" customHeight="false" outlineLevel="0" collapsed="false">
      <c r="K105" s="40"/>
      <c r="L105" s="40"/>
    </row>
    <row r="106" s="39" customFormat="true" ht="13" hidden="false" customHeight="false" outlineLevel="0" collapsed="false">
      <c r="K106" s="40"/>
      <c r="L106" s="40"/>
    </row>
    <row r="107" s="39" customFormat="true" ht="13" hidden="false" customHeight="false" outlineLevel="0" collapsed="false">
      <c r="K107" s="40"/>
      <c r="L107" s="40"/>
    </row>
    <row r="108" s="39" customFormat="true" ht="13" hidden="false" customHeight="false" outlineLevel="0" collapsed="false">
      <c r="K108" s="40"/>
      <c r="L108" s="40"/>
    </row>
    <row r="109" s="39" customFormat="true" ht="13" hidden="false" customHeight="false" outlineLevel="0" collapsed="false">
      <c r="K109" s="40"/>
      <c r="L109" s="40"/>
    </row>
    <row r="110" s="39" customFormat="true" ht="13" hidden="false" customHeight="false" outlineLevel="0" collapsed="false">
      <c r="K110" s="40"/>
      <c r="L110" s="40"/>
    </row>
    <row r="111" s="39" customFormat="true" ht="13" hidden="false" customHeight="false" outlineLevel="0" collapsed="false">
      <c r="K111" s="40"/>
      <c r="L111" s="40"/>
    </row>
    <row r="112" s="39" customFormat="true" ht="13" hidden="false" customHeight="false" outlineLevel="0" collapsed="false">
      <c r="K112" s="40"/>
      <c r="L112" s="40"/>
    </row>
    <row r="113" s="39" customFormat="true" ht="13" hidden="false" customHeight="false" outlineLevel="0" collapsed="false">
      <c r="K113" s="40"/>
      <c r="L113" s="40"/>
    </row>
    <row r="114" s="39" customFormat="true" ht="13" hidden="false" customHeight="false" outlineLevel="0" collapsed="false">
      <c r="K114" s="40"/>
      <c r="L114" s="40"/>
    </row>
    <row r="115" s="39" customFormat="true" ht="13" hidden="false" customHeight="false" outlineLevel="0" collapsed="false">
      <c r="K115" s="40"/>
      <c r="L115" s="40"/>
    </row>
    <row r="116" s="39" customFormat="true" ht="13" hidden="false" customHeight="false" outlineLevel="0" collapsed="false">
      <c r="K116" s="40"/>
      <c r="L116" s="40"/>
    </row>
    <row r="117" s="39" customFormat="true" ht="13" hidden="false" customHeight="false" outlineLevel="0" collapsed="false">
      <c r="K117" s="40"/>
      <c r="L117" s="40"/>
    </row>
    <row r="118" s="39" customFormat="true" ht="13" hidden="false" customHeight="false" outlineLevel="0" collapsed="false">
      <c r="K118" s="40"/>
      <c r="L118" s="40"/>
    </row>
    <row r="119" s="39" customFormat="true" ht="13" hidden="false" customHeight="false" outlineLevel="0" collapsed="false">
      <c r="K119" s="40"/>
      <c r="L119" s="40"/>
    </row>
    <row r="120" s="39" customFormat="true" ht="13" hidden="false" customHeight="false" outlineLevel="0" collapsed="false">
      <c r="K120" s="40"/>
      <c r="L120" s="40"/>
    </row>
    <row r="121" s="39" customFormat="true" ht="13" hidden="false" customHeight="false" outlineLevel="0" collapsed="false">
      <c r="K121" s="40"/>
      <c r="L121" s="40"/>
    </row>
    <row r="122" s="39" customFormat="true" ht="13" hidden="false" customHeight="false" outlineLevel="0" collapsed="false">
      <c r="K122" s="40"/>
      <c r="L122" s="40"/>
    </row>
    <row r="123" s="39" customFormat="true" ht="13" hidden="false" customHeight="false" outlineLevel="0" collapsed="false">
      <c r="K123" s="40"/>
      <c r="L123" s="40"/>
    </row>
    <row r="124" s="39" customFormat="true" ht="13" hidden="false" customHeight="false" outlineLevel="0" collapsed="false">
      <c r="K124" s="40"/>
      <c r="L124" s="40"/>
    </row>
    <row r="125" s="39" customFormat="true" ht="13" hidden="false" customHeight="false" outlineLevel="0" collapsed="false">
      <c r="K125" s="40"/>
      <c r="L125" s="40"/>
    </row>
    <row r="126" s="39" customFormat="true" ht="13" hidden="false" customHeight="false" outlineLevel="0" collapsed="false">
      <c r="K126" s="40"/>
      <c r="L126" s="40"/>
    </row>
    <row r="127" s="39" customFormat="true" ht="13" hidden="false" customHeight="false" outlineLevel="0" collapsed="false">
      <c r="K127" s="40"/>
      <c r="L127" s="40"/>
    </row>
    <row r="128" s="39" customFormat="true" ht="13" hidden="false" customHeight="false" outlineLevel="0" collapsed="false">
      <c r="K128" s="40"/>
      <c r="L128" s="40"/>
    </row>
    <row r="129" s="39" customFormat="true" ht="13" hidden="false" customHeight="false" outlineLevel="0" collapsed="false">
      <c r="K129" s="40"/>
      <c r="L129" s="40"/>
    </row>
    <row r="130" s="39" customFormat="true" ht="13" hidden="false" customHeight="false" outlineLevel="0" collapsed="false">
      <c r="K130" s="40"/>
      <c r="L130" s="40"/>
    </row>
    <row r="131" s="39" customFormat="true" ht="13" hidden="false" customHeight="false" outlineLevel="0" collapsed="false">
      <c r="K131" s="40"/>
      <c r="L131" s="40"/>
    </row>
    <row r="132" s="39" customFormat="true" ht="13" hidden="false" customHeight="false" outlineLevel="0" collapsed="false">
      <c r="K132" s="40"/>
      <c r="L132" s="40"/>
    </row>
    <row r="133" s="39" customFormat="true" ht="13" hidden="false" customHeight="false" outlineLevel="0" collapsed="false">
      <c r="K133" s="40"/>
      <c r="L133" s="40"/>
    </row>
    <row r="134" s="39" customFormat="true" ht="13" hidden="false" customHeight="false" outlineLevel="0" collapsed="false">
      <c r="K134" s="40"/>
      <c r="L134" s="40"/>
    </row>
    <row r="135" s="39" customFormat="true" ht="13" hidden="false" customHeight="false" outlineLevel="0" collapsed="false">
      <c r="K135" s="40"/>
      <c r="L135" s="40"/>
    </row>
    <row r="136" s="39" customFormat="true" ht="13" hidden="false" customHeight="false" outlineLevel="0" collapsed="false">
      <c r="K136" s="40"/>
      <c r="L136" s="40"/>
    </row>
    <row r="137" s="39" customFormat="true" ht="13" hidden="false" customHeight="false" outlineLevel="0" collapsed="false">
      <c r="K137" s="40"/>
      <c r="L137" s="40"/>
    </row>
    <row r="138" s="39" customFormat="true" ht="13" hidden="false" customHeight="false" outlineLevel="0" collapsed="false">
      <c r="K138" s="40"/>
      <c r="L138" s="40"/>
    </row>
    <row r="139" s="39" customFormat="true" ht="13" hidden="false" customHeight="false" outlineLevel="0" collapsed="false">
      <c r="K139" s="40"/>
      <c r="L139" s="40"/>
    </row>
    <row r="140" s="39" customFormat="true" ht="13" hidden="false" customHeight="false" outlineLevel="0" collapsed="false">
      <c r="K140" s="40"/>
      <c r="L140" s="40"/>
    </row>
    <row r="141" s="39" customFormat="true" ht="13" hidden="false" customHeight="false" outlineLevel="0" collapsed="false">
      <c r="K141" s="40"/>
      <c r="L141" s="40"/>
    </row>
    <row r="142" s="39" customFormat="true" ht="13" hidden="false" customHeight="false" outlineLevel="0" collapsed="false">
      <c r="K142" s="40"/>
      <c r="L142" s="40"/>
    </row>
    <row r="143" s="39" customFormat="true" ht="13" hidden="false" customHeight="false" outlineLevel="0" collapsed="false">
      <c r="K143" s="40"/>
      <c r="L143" s="40"/>
    </row>
    <row r="144" s="39" customFormat="true" ht="13" hidden="false" customHeight="false" outlineLevel="0" collapsed="false">
      <c r="K144" s="40"/>
      <c r="L144" s="40"/>
    </row>
    <row r="145" s="39" customFormat="true" ht="13" hidden="false" customHeight="false" outlineLevel="0" collapsed="false">
      <c r="K145" s="40"/>
      <c r="L145" s="40"/>
    </row>
    <row r="146" s="39" customFormat="true" ht="13" hidden="false" customHeight="false" outlineLevel="0" collapsed="false">
      <c r="K146" s="40"/>
      <c r="L146" s="40"/>
    </row>
    <row r="147" s="39" customFormat="true" ht="13" hidden="false" customHeight="false" outlineLevel="0" collapsed="false">
      <c r="K147" s="40"/>
      <c r="L147" s="40"/>
    </row>
    <row r="148" s="39" customFormat="true" ht="13" hidden="false" customHeight="false" outlineLevel="0" collapsed="false">
      <c r="K148" s="40"/>
      <c r="L148" s="40"/>
    </row>
    <row r="149" s="39" customFormat="true" ht="13" hidden="false" customHeight="false" outlineLevel="0" collapsed="false">
      <c r="K149" s="40"/>
      <c r="L149" s="40"/>
    </row>
    <row r="150" s="39" customFormat="true" ht="13" hidden="false" customHeight="false" outlineLevel="0" collapsed="false">
      <c r="K150" s="40"/>
      <c r="L150" s="40"/>
    </row>
    <row r="151" s="39" customFormat="true" ht="13" hidden="false" customHeight="false" outlineLevel="0" collapsed="false">
      <c r="K151" s="40"/>
      <c r="L151" s="40"/>
    </row>
    <row r="152" s="39" customFormat="true" ht="13" hidden="false" customHeight="false" outlineLevel="0" collapsed="false">
      <c r="K152" s="40"/>
      <c r="L152" s="40"/>
    </row>
    <row r="153" s="39" customFormat="true" ht="13" hidden="false" customHeight="false" outlineLevel="0" collapsed="false">
      <c r="K153" s="40"/>
      <c r="L153" s="40"/>
    </row>
    <row r="154" s="39" customFormat="true" ht="13" hidden="false" customHeight="false" outlineLevel="0" collapsed="false">
      <c r="K154" s="40"/>
      <c r="L154" s="40"/>
    </row>
    <row r="155" s="39" customFormat="true" ht="13" hidden="false" customHeight="false" outlineLevel="0" collapsed="false">
      <c r="K155" s="40"/>
      <c r="L155" s="40"/>
    </row>
    <row r="156" s="39" customFormat="true" ht="13" hidden="false" customHeight="false" outlineLevel="0" collapsed="false">
      <c r="K156" s="40"/>
      <c r="L156" s="40"/>
    </row>
    <row r="157" s="39" customFormat="true" ht="13" hidden="false" customHeight="false" outlineLevel="0" collapsed="false">
      <c r="K157" s="40"/>
      <c r="L157" s="40"/>
    </row>
    <row r="158" s="39" customFormat="true" ht="13" hidden="false" customHeight="false" outlineLevel="0" collapsed="false">
      <c r="K158" s="40"/>
      <c r="L158" s="40"/>
    </row>
    <row r="159" s="39" customFormat="true" ht="13" hidden="false" customHeight="false" outlineLevel="0" collapsed="false">
      <c r="K159" s="40"/>
      <c r="L159" s="40"/>
    </row>
    <row r="160" s="39" customFormat="true" ht="13" hidden="false" customHeight="false" outlineLevel="0" collapsed="false">
      <c r="K160" s="40"/>
      <c r="L160" s="40"/>
    </row>
    <row r="161" s="39" customFormat="true" ht="13" hidden="false" customHeight="false" outlineLevel="0" collapsed="false">
      <c r="K161" s="40"/>
      <c r="L161" s="40"/>
    </row>
    <row r="162" s="39" customFormat="true" ht="13" hidden="false" customHeight="false" outlineLevel="0" collapsed="false">
      <c r="K162" s="40"/>
      <c r="L162" s="40"/>
    </row>
    <row r="163" s="39" customFormat="true" ht="13" hidden="false" customHeight="false" outlineLevel="0" collapsed="false">
      <c r="K163" s="40"/>
      <c r="L163" s="40"/>
    </row>
    <row r="164" s="39" customFormat="true" ht="13" hidden="false" customHeight="false" outlineLevel="0" collapsed="false">
      <c r="K164" s="40"/>
      <c r="L164" s="40"/>
    </row>
    <row r="165" s="39" customFormat="true" ht="13" hidden="false" customHeight="false" outlineLevel="0" collapsed="false">
      <c r="K165" s="40"/>
      <c r="L165" s="40"/>
    </row>
    <row r="166" s="39" customFormat="true" ht="13" hidden="false" customHeight="false" outlineLevel="0" collapsed="false">
      <c r="K166" s="40"/>
      <c r="L166" s="40"/>
    </row>
    <row r="167" s="39" customFormat="true" ht="13" hidden="false" customHeight="false" outlineLevel="0" collapsed="false">
      <c r="K167" s="40"/>
      <c r="L167" s="40"/>
    </row>
    <row r="168" s="39" customFormat="true" ht="13" hidden="false" customHeight="false" outlineLevel="0" collapsed="false">
      <c r="K168" s="40"/>
      <c r="L168" s="40"/>
    </row>
    <row r="169" s="39" customFormat="true" ht="13" hidden="false" customHeight="false" outlineLevel="0" collapsed="false">
      <c r="K169" s="40"/>
      <c r="L169" s="40"/>
    </row>
    <row r="170" s="39" customFormat="true" ht="13" hidden="false" customHeight="false" outlineLevel="0" collapsed="false">
      <c r="K170" s="40"/>
      <c r="L170" s="40"/>
    </row>
    <row r="171" s="39" customFormat="true" ht="13" hidden="false" customHeight="false" outlineLevel="0" collapsed="false">
      <c r="K171" s="40"/>
      <c r="L171" s="40"/>
    </row>
    <row r="172" s="39" customFormat="true" ht="13" hidden="false" customHeight="false" outlineLevel="0" collapsed="false">
      <c r="K172" s="40"/>
      <c r="L172" s="40"/>
    </row>
    <row r="173" s="39" customFormat="true" ht="13" hidden="false" customHeight="false" outlineLevel="0" collapsed="false">
      <c r="K173" s="40"/>
      <c r="L173" s="40"/>
    </row>
    <row r="174" s="39" customFormat="true" ht="13" hidden="false" customHeight="false" outlineLevel="0" collapsed="false">
      <c r="K174" s="40"/>
      <c r="L174" s="40"/>
    </row>
    <row r="175" s="39" customFormat="true" ht="13" hidden="false" customHeight="false" outlineLevel="0" collapsed="false">
      <c r="K175" s="40"/>
      <c r="L175" s="40"/>
    </row>
    <row r="176" s="39" customFormat="true" ht="13" hidden="false" customHeight="false" outlineLevel="0" collapsed="false">
      <c r="K176" s="40"/>
      <c r="L176" s="40"/>
    </row>
    <row r="177" s="39" customFormat="true" ht="13" hidden="false" customHeight="false" outlineLevel="0" collapsed="false">
      <c r="K177" s="40"/>
      <c r="L177" s="40"/>
    </row>
    <row r="178" s="39" customFormat="true" ht="13" hidden="false" customHeight="false" outlineLevel="0" collapsed="false">
      <c r="K178" s="40"/>
      <c r="L178" s="40"/>
    </row>
    <row r="179" s="39" customFormat="true" ht="13" hidden="false" customHeight="false" outlineLevel="0" collapsed="false">
      <c r="K179" s="40"/>
      <c r="L179" s="40"/>
    </row>
    <row r="180" s="39" customFormat="true" ht="13" hidden="false" customHeight="false" outlineLevel="0" collapsed="false">
      <c r="K180" s="40"/>
      <c r="L180" s="40"/>
    </row>
    <row r="181" s="39" customFormat="true" ht="13" hidden="false" customHeight="false" outlineLevel="0" collapsed="false">
      <c r="K181" s="40"/>
      <c r="L181" s="40"/>
    </row>
    <row r="182" s="39" customFormat="true" ht="13" hidden="false" customHeight="false" outlineLevel="0" collapsed="false">
      <c r="K182" s="40"/>
      <c r="L182" s="40"/>
    </row>
    <row r="183" s="39" customFormat="true" ht="13" hidden="false" customHeight="false" outlineLevel="0" collapsed="false">
      <c r="K183" s="40"/>
      <c r="L183" s="40"/>
    </row>
    <row r="184" s="39" customFormat="true" ht="13" hidden="false" customHeight="false" outlineLevel="0" collapsed="false">
      <c r="K184" s="40"/>
      <c r="L184" s="40"/>
    </row>
    <row r="185" s="39" customFormat="true" ht="13" hidden="false" customHeight="false" outlineLevel="0" collapsed="false">
      <c r="K185" s="40"/>
      <c r="L185" s="40"/>
    </row>
    <row r="186" s="39" customFormat="true" ht="13" hidden="false" customHeight="false" outlineLevel="0" collapsed="false">
      <c r="K186" s="40"/>
      <c r="L186" s="40"/>
    </row>
    <row r="187" s="39" customFormat="true" ht="13" hidden="false" customHeight="false" outlineLevel="0" collapsed="false">
      <c r="K187" s="40"/>
      <c r="L187" s="40"/>
    </row>
    <row r="188" s="39" customFormat="true" ht="13" hidden="false" customHeight="false" outlineLevel="0" collapsed="false">
      <c r="K188" s="40"/>
      <c r="L188" s="40"/>
    </row>
    <row r="189" s="39" customFormat="true" ht="13" hidden="false" customHeight="false" outlineLevel="0" collapsed="false">
      <c r="K189" s="40"/>
      <c r="L189" s="40"/>
    </row>
    <row r="190" s="39" customFormat="true" ht="13" hidden="false" customHeight="false" outlineLevel="0" collapsed="false">
      <c r="K190" s="40"/>
      <c r="L190" s="40"/>
    </row>
    <row r="191" s="39" customFormat="true" ht="13" hidden="false" customHeight="false" outlineLevel="0" collapsed="false">
      <c r="K191" s="40"/>
      <c r="L191" s="40"/>
    </row>
    <row r="192" s="39" customFormat="true" ht="13" hidden="false" customHeight="false" outlineLevel="0" collapsed="false">
      <c r="K192" s="40"/>
      <c r="L192" s="40"/>
    </row>
    <row r="193" s="39" customFormat="true" ht="13" hidden="false" customHeight="false" outlineLevel="0" collapsed="false">
      <c r="K193" s="40"/>
      <c r="L193" s="40"/>
    </row>
    <row r="194" s="39" customFormat="true" ht="13" hidden="false" customHeight="false" outlineLevel="0" collapsed="false">
      <c r="K194" s="40"/>
      <c r="L194" s="40"/>
    </row>
    <row r="195" s="39" customFormat="true" ht="13" hidden="false" customHeight="false" outlineLevel="0" collapsed="false">
      <c r="K195" s="40"/>
      <c r="L195" s="40"/>
    </row>
    <row r="196" s="39" customFormat="true" ht="13" hidden="false" customHeight="false" outlineLevel="0" collapsed="false">
      <c r="K196" s="40"/>
      <c r="L196" s="40"/>
    </row>
    <row r="197" s="39" customFormat="true" ht="13" hidden="false" customHeight="false" outlineLevel="0" collapsed="false">
      <c r="K197" s="40"/>
      <c r="L197" s="40"/>
    </row>
    <row r="198" s="39" customFormat="true" ht="13" hidden="false" customHeight="false" outlineLevel="0" collapsed="false">
      <c r="K198" s="40"/>
      <c r="L198" s="40"/>
    </row>
    <row r="199" s="39" customFormat="true" ht="13" hidden="false" customHeight="false" outlineLevel="0" collapsed="false">
      <c r="K199" s="40"/>
      <c r="L199" s="40"/>
    </row>
    <row r="200" s="39" customFormat="true" ht="13" hidden="false" customHeight="false" outlineLevel="0" collapsed="false">
      <c r="K200" s="40"/>
      <c r="L200" s="40"/>
    </row>
    <row r="201" s="39" customFormat="true" ht="13" hidden="false" customHeight="false" outlineLevel="0" collapsed="false">
      <c r="K201" s="40"/>
      <c r="L201" s="40"/>
    </row>
    <row r="202" s="39" customFormat="true" ht="13" hidden="false" customHeight="false" outlineLevel="0" collapsed="false">
      <c r="K202" s="40"/>
      <c r="L202" s="40"/>
    </row>
    <row r="203" s="39" customFormat="true" ht="13" hidden="false" customHeight="false" outlineLevel="0" collapsed="false">
      <c r="K203" s="40"/>
      <c r="L203" s="40"/>
    </row>
    <row r="204" s="39" customFormat="true" ht="13" hidden="false" customHeight="false" outlineLevel="0" collapsed="false">
      <c r="K204" s="40"/>
      <c r="L204" s="40"/>
    </row>
    <row r="205" s="39" customFormat="true" ht="13" hidden="false" customHeight="false" outlineLevel="0" collapsed="false">
      <c r="K205" s="40"/>
      <c r="L205" s="40"/>
    </row>
    <row r="206" s="39" customFormat="true" ht="13" hidden="false" customHeight="false" outlineLevel="0" collapsed="false">
      <c r="K206" s="40"/>
      <c r="L206" s="40"/>
    </row>
    <row r="207" s="39" customFormat="true" ht="13" hidden="false" customHeight="false" outlineLevel="0" collapsed="false">
      <c r="K207" s="40"/>
      <c r="L207" s="40"/>
    </row>
    <row r="208" s="39" customFormat="true" ht="13" hidden="false" customHeight="false" outlineLevel="0" collapsed="false">
      <c r="K208" s="40"/>
      <c r="L208" s="40"/>
    </row>
    <row r="209" s="39" customFormat="true" ht="13" hidden="false" customHeight="false" outlineLevel="0" collapsed="false">
      <c r="K209" s="40"/>
      <c r="L209" s="40"/>
    </row>
    <row r="210" s="39" customFormat="true" ht="13" hidden="false" customHeight="false" outlineLevel="0" collapsed="false">
      <c r="K210" s="40"/>
      <c r="L210" s="40"/>
    </row>
    <row r="211" s="39" customFormat="true" ht="13" hidden="false" customHeight="false" outlineLevel="0" collapsed="false">
      <c r="K211" s="40"/>
      <c r="L211" s="40"/>
    </row>
    <row r="212" s="39" customFormat="true" ht="13" hidden="false" customHeight="false" outlineLevel="0" collapsed="false">
      <c r="K212" s="40"/>
      <c r="L212" s="40"/>
    </row>
    <row r="213" s="39" customFormat="true" ht="13" hidden="false" customHeight="false" outlineLevel="0" collapsed="false">
      <c r="K213" s="40"/>
      <c r="L213" s="40"/>
    </row>
    <row r="214" s="39" customFormat="true" ht="13" hidden="false" customHeight="false" outlineLevel="0" collapsed="false">
      <c r="K214" s="40"/>
      <c r="L214" s="40"/>
    </row>
    <row r="215" s="39" customFormat="true" ht="13" hidden="false" customHeight="false" outlineLevel="0" collapsed="false">
      <c r="K215" s="40"/>
      <c r="L215" s="40"/>
    </row>
    <row r="216" s="39" customFormat="true" ht="13" hidden="false" customHeight="false" outlineLevel="0" collapsed="false">
      <c r="K216" s="40"/>
      <c r="L216" s="40"/>
    </row>
    <row r="217" s="39" customFormat="true" ht="13" hidden="false" customHeight="false" outlineLevel="0" collapsed="false">
      <c r="K217" s="40"/>
      <c r="L217" s="40"/>
    </row>
    <row r="218" s="39" customFormat="true" ht="13" hidden="false" customHeight="false" outlineLevel="0" collapsed="false">
      <c r="K218" s="40"/>
      <c r="L218" s="40"/>
    </row>
    <row r="219" s="39" customFormat="true" ht="13" hidden="false" customHeight="false" outlineLevel="0" collapsed="false">
      <c r="K219" s="40"/>
      <c r="L219" s="40"/>
    </row>
    <row r="220" s="39" customFormat="true" ht="13" hidden="false" customHeight="false" outlineLevel="0" collapsed="false">
      <c r="K220" s="40"/>
      <c r="L220" s="40"/>
    </row>
    <row r="221" s="39" customFormat="true" ht="13" hidden="false" customHeight="false" outlineLevel="0" collapsed="false">
      <c r="K221" s="40"/>
      <c r="L221" s="40"/>
    </row>
    <row r="222" s="39" customFormat="true" ht="13" hidden="false" customHeight="false" outlineLevel="0" collapsed="false">
      <c r="K222" s="40"/>
      <c r="L222" s="40"/>
    </row>
    <row r="223" s="39" customFormat="true" ht="13" hidden="false" customHeight="false" outlineLevel="0" collapsed="false">
      <c r="K223" s="40"/>
      <c r="L223" s="40"/>
    </row>
    <row r="224" s="39" customFormat="true" ht="13" hidden="false" customHeight="false" outlineLevel="0" collapsed="false">
      <c r="K224" s="40"/>
      <c r="L224" s="40"/>
    </row>
    <row r="225" s="39" customFormat="true" ht="13" hidden="false" customHeight="false" outlineLevel="0" collapsed="false">
      <c r="K225" s="40"/>
      <c r="L225" s="40"/>
    </row>
    <row r="226" s="39" customFormat="true" ht="13" hidden="false" customHeight="false" outlineLevel="0" collapsed="false">
      <c r="K226" s="40"/>
      <c r="L226" s="40"/>
    </row>
    <row r="227" s="39" customFormat="true" ht="13" hidden="false" customHeight="false" outlineLevel="0" collapsed="false">
      <c r="K227" s="40"/>
      <c r="L227" s="40"/>
    </row>
    <row r="228" s="39" customFormat="true" ht="13" hidden="false" customHeight="false" outlineLevel="0" collapsed="false">
      <c r="K228" s="40"/>
      <c r="L228" s="40"/>
    </row>
    <row r="229" s="39" customFormat="true" ht="13" hidden="false" customHeight="false" outlineLevel="0" collapsed="false">
      <c r="K229" s="40"/>
      <c r="L229" s="40"/>
    </row>
    <row r="230" s="39" customFormat="true" ht="13" hidden="false" customHeight="false" outlineLevel="0" collapsed="false">
      <c r="K230" s="40"/>
      <c r="L230" s="40"/>
    </row>
    <row r="231" s="39" customFormat="true" ht="13" hidden="false" customHeight="false" outlineLevel="0" collapsed="false">
      <c r="K231" s="40"/>
      <c r="L231" s="40"/>
    </row>
    <row r="232" s="39" customFormat="true" ht="13" hidden="false" customHeight="false" outlineLevel="0" collapsed="false">
      <c r="K232" s="40"/>
      <c r="L232" s="40"/>
    </row>
    <row r="233" s="39" customFormat="true" ht="13" hidden="false" customHeight="false" outlineLevel="0" collapsed="false">
      <c r="K233" s="40"/>
      <c r="L233" s="40"/>
    </row>
    <row r="234" s="39" customFormat="true" ht="13" hidden="false" customHeight="false" outlineLevel="0" collapsed="false">
      <c r="K234" s="40"/>
      <c r="L234" s="40"/>
    </row>
    <row r="235" s="39" customFormat="true" ht="13" hidden="false" customHeight="false" outlineLevel="0" collapsed="false">
      <c r="K235" s="40"/>
      <c r="L235" s="40"/>
    </row>
    <row r="236" s="39" customFormat="true" ht="13" hidden="false" customHeight="false" outlineLevel="0" collapsed="false">
      <c r="K236" s="40"/>
      <c r="L236" s="40"/>
    </row>
    <row r="237" s="39" customFormat="true" ht="13" hidden="false" customHeight="false" outlineLevel="0" collapsed="false">
      <c r="K237" s="40"/>
      <c r="L237" s="40"/>
    </row>
    <row r="238" s="39" customFormat="true" ht="13" hidden="false" customHeight="false" outlineLevel="0" collapsed="false">
      <c r="K238" s="40"/>
      <c r="L238" s="40"/>
    </row>
    <row r="239" s="39" customFormat="true" ht="13" hidden="false" customHeight="false" outlineLevel="0" collapsed="false">
      <c r="K239" s="40"/>
      <c r="L239" s="40"/>
    </row>
    <row r="240" s="39" customFormat="true" ht="13" hidden="false" customHeight="false" outlineLevel="0" collapsed="false">
      <c r="K240" s="40"/>
      <c r="L240" s="40"/>
    </row>
    <row r="241" s="39" customFormat="true" ht="13" hidden="false" customHeight="false" outlineLevel="0" collapsed="false">
      <c r="K241" s="40"/>
      <c r="L241" s="40"/>
    </row>
    <row r="242" s="39" customFormat="true" ht="13" hidden="false" customHeight="false" outlineLevel="0" collapsed="false">
      <c r="K242" s="40"/>
      <c r="L242" s="40"/>
    </row>
    <row r="243" s="39" customFormat="true" ht="13" hidden="false" customHeight="false" outlineLevel="0" collapsed="false">
      <c r="K243" s="40"/>
      <c r="L243" s="40"/>
    </row>
    <row r="244" s="39" customFormat="true" ht="13" hidden="false" customHeight="false" outlineLevel="0" collapsed="false">
      <c r="K244" s="40"/>
      <c r="L244" s="40"/>
    </row>
    <row r="245" s="39" customFormat="true" ht="13" hidden="false" customHeight="false" outlineLevel="0" collapsed="false">
      <c r="K245" s="40"/>
      <c r="L245" s="40"/>
    </row>
    <row r="246" s="39" customFormat="true" ht="13" hidden="false" customHeight="false" outlineLevel="0" collapsed="false">
      <c r="K246" s="40"/>
      <c r="L246" s="40"/>
    </row>
    <row r="247" s="39" customFormat="true" ht="13" hidden="false" customHeight="false" outlineLevel="0" collapsed="false">
      <c r="K247" s="40"/>
      <c r="L247" s="40"/>
    </row>
    <row r="248" s="39" customFormat="true" ht="13" hidden="false" customHeight="false" outlineLevel="0" collapsed="false">
      <c r="K248" s="40"/>
      <c r="L248" s="40"/>
    </row>
    <row r="249" s="39" customFormat="true" ht="13" hidden="false" customHeight="false" outlineLevel="0" collapsed="false">
      <c r="K249" s="40"/>
      <c r="L249" s="40"/>
    </row>
    <row r="250" s="39" customFormat="true" ht="13" hidden="false" customHeight="false" outlineLevel="0" collapsed="false">
      <c r="K250" s="40"/>
      <c r="L250" s="40"/>
    </row>
    <row r="251" s="39" customFormat="true" ht="13" hidden="false" customHeight="false" outlineLevel="0" collapsed="false">
      <c r="K251" s="40"/>
      <c r="L251" s="40"/>
    </row>
    <row r="252" s="39" customFormat="true" ht="13" hidden="false" customHeight="false" outlineLevel="0" collapsed="false">
      <c r="K252" s="40"/>
      <c r="L252" s="40"/>
    </row>
    <row r="253" s="39" customFormat="true" ht="13" hidden="false" customHeight="false" outlineLevel="0" collapsed="false">
      <c r="K253" s="40"/>
      <c r="L253" s="40"/>
    </row>
    <row r="254" s="39" customFormat="true" ht="13" hidden="false" customHeight="false" outlineLevel="0" collapsed="false">
      <c r="K254" s="40"/>
      <c r="L254" s="40"/>
    </row>
    <row r="255" s="39" customFormat="true" ht="13" hidden="false" customHeight="false" outlineLevel="0" collapsed="false">
      <c r="K255" s="40"/>
      <c r="L255" s="40"/>
    </row>
    <row r="256" s="39" customFormat="true" ht="13" hidden="false" customHeight="false" outlineLevel="0" collapsed="false">
      <c r="K256" s="40"/>
      <c r="L256" s="40"/>
    </row>
    <row r="257" s="39" customFormat="true" ht="13" hidden="false" customHeight="false" outlineLevel="0" collapsed="false">
      <c r="K257" s="40"/>
      <c r="L257" s="40"/>
    </row>
    <row r="258" s="39" customFormat="true" ht="13" hidden="false" customHeight="false" outlineLevel="0" collapsed="false">
      <c r="K258" s="40"/>
      <c r="L258" s="40"/>
    </row>
    <row r="259" s="39" customFormat="true" ht="13" hidden="false" customHeight="false" outlineLevel="0" collapsed="false">
      <c r="K259" s="40"/>
      <c r="L259" s="40"/>
    </row>
    <row r="260" s="39" customFormat="true" ht="13" hidden="false" customHeight="false" outlineLevel="0" collapsed="false">
      <c r="K260" s="40"/>
      <c r="L260" s="40"/>
    </row>
  </sheetData>
  <sheetProtection sheet="true" objects="true" scenarios="true"/>
  <mergeCells count="15">
    <mergeCell ref="A4:B4"/>
    <mergeCell ref="K9:K14"/>
    <mergeCell ref="L9:L14"/>
    <mergeCell ref="C18:I18"/>
    <mergeCell ref="C23:F23"/>
    <mergeCell ref="C24:D24"/>
    <mergeCell ref="C25:D25"/>
    <mergeCell ref="C26:D26"/>
    <mergeCell ref="C28:F28"/>
    <mergeCell ref="C29:D29"/>
    <mergeCell ref="C30:D30"/>
    <mergeCell ref="C31:D31"/>
    <mergeCell ref="C32:D32"/>
    <mergeCell ref="C33:D33"/>
    <mergeCell ref="C35:F35"/>
  </mergeCells>
  <conditionalFormatting sqref="L6:L9 L15">
    <cfRule type="expression" priority="2" aboveAverage="0" equalAverage="0" bottom="0" percent="0" rank="0" text="" dxfId="2">
      <formula>IF(#ref!="",0,1)</formula>
    </cfRule>
  </conditionalFormatting>
  <conditionalFormatting sqref="L15 L6:L9">
    <cfRule type="duplicateValues" priority="3" aboveAverage="0" equalAverage="0" bottom="0" percent="0" rank="0" text="" dxfId="3"/>
    <cfRule type="expression" priority="4" aboveAverage="0" equalAverage="0" bottom="0" percent="0" rank="0" text="" dxfId="4">
      <formula>LEN(TRIM(L6))=0</formula>
    </cfRule>
  </conditionalFormatting>
  <dataValidations count="1">
    <dataValidation allowBlank="true" error="Please enter a valid license key&#10;xxxxx-xxxxx-xxxxx-xxxxx-xxxxx" errorTitle="Invalid License Key" operator="between" showDropDown="false" showErrorMessage="true" showInputMessage="true" sqref="L6:L9 L15" type="custom">
      <formula1>AND(EXACT(L15,UPPER(L15)),LEN(L15)=29,6=FIND("-",L15),12=FIND("-",L15,FIND("-",L15)+1),18=FIND("-",L15,FIND("-",L15,FIND("-",L15)+1)+1),24=FIND("-",L15,FIND("-",L15,FIND("-",L15,FIND("-",L15)+1)+1)+1))</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H69"/>
  <sheetViews>
    <sheetView showFormulas="false" showGridLines="false" showRowColHeaders="true" showZeros="true" rightToLeft="false" tabSelected="false" showOutlineSymbols="true" defaultGridColor="true" view="normal" topLeftCell="A1" colorId="64" zoomScale="135" zoomScaleNormal="135" zoomScalePageLayoutView="100" workbookViewId="0">
      <pane xSplit="0" ySplit="3" topLeftCell="A10" activePane="bottomLeft" state="frozen"/>
      <selection pane="topLeft" activeCell="A1" activeCellId="0" sqref="A1"/>
      <selection pane="bottomLeft" activeCell="C18" activeCellId="0" sqref="C18"/>
    </sheetView>
  </sheetViews>
  <sheetFormatPr defaultColWidth="8.83984375" defaultRowHeight="14" zeroHeight="false" outlineLevelRow="0" outlineLevelCol="0"/>
  <cols>
    <col collapsed="false" customWidth="true" hidden="false" outlineLevel="0" max="1" min="1" style="116" width="1.16"/>
    <col collapsed="false" customWidth="true" hidden="false" outlineLevel="0" max="2" min="2" style="116" width="26.83"/>
    <col collapsed="false" customWidth="true" hidden="false" outlineLevel="0" max="3" min="3" style="116" width="25.83"/>
    <col collapsed="false" customWidth="true" hidden="false" outlineLevel="0" max="4" min="4" style="117" width="105.83"/>
    <col collapsed="false" customWidth="true" hidden="false" outlineLevel="0" max="5" min="5" style="118" width="26.33"/>
    <col collapsed="false" customWidth="true" hidden="false" outlineLevel="0" max="6" min="6" style="117" width="12.83"/>
    <col collapsed="false" customWidth="true" hidden="false" outlineLevel="0" max="7" min="7" style="116" width="12.83"/>
    <col collapsed="false" customWidth="false" hidden="false" outlineLevel="0" max="1024" min="8" style="116" width="8.83"/>
  </cols>
  <sheetData>
    <row r="1" customFormat="false" ht="48" hidden="false" customHeight="true" outlineLevel="0" collapsed="false">
      <c r="B1" s="119"/>
      <c r="C1" s="119"/>
      <c r="D1" s="117" t="s">
        <v>76</v>
      </c>
    </row>
    <row r="2" customFormat="false" ht="2.25" hidden="false" customHeight="true" outlineLevel="0" collapsed="false"/>
    <row r="3" s="120" customFormat="true" ht="69" hidden="false" customHeight="true" outlineLevel="0" collapsed="false">
      <c r="B3" s="121" t="s">
        <v>77</v>
      </c>
      <c r="C3" s="121"/>
      <c r="D3" s="121"/>
      <c r="E3" s="121"/>
      <c r="F3" s="122"/>
      <c r="G3" s="123"/>
      <c r="H3" s="123"/>
    </row>
    <row r="4" s="120" customFormat="true" ht="4" hidden="false" customHeight="true" outlineLevel="0" collapsed="false">
      <c r="B4" s="124"/>
      <c r="C4" s="124"/>
      <c r="F4" s="116"/>
      <c r="G4" s="116"/>
    </row>
    <row r="5" s="125" customFormat="true" ht="18" hidden="false" customHeight="false" outlineLevel="0" collapsed="false">
      <c r="B5" s="126" t="s">
        <v>78</v>
      </c>
      <c r="C5" s="127"/>
      <c r="D5" s="128"/>
      <c r="E5" s="129"/>
    </row>
    <row r="6" s="125" customFormat="true" ht="16" hidden="false" customHeight="true" outlineLevel="0" collapsed="false">
      <c r="B6" s="130" t="s">
        <v>79</v>
      </c>
      <c r="C6" s="131" t="s">
        <v>80</v>
      </c>
      <c r="D6" s="131" t="s">
        <v>81</v>
      </c>
      <c r="E6" s="132" t="s">
        <v>82</v>
      </c>
    </row>
    <row r="7" s="125" customFormat="true" ht="28" hidden="false" customHeight="true" outlineLevel="0" collapsed="false">
      <c r="B7" s="133" t="s">
        <v>83</v>
      </c>
      <c r="C7" s="134"/>
      <c r="D7" s="135" t="s">
        <v>84</v>
      </c>
      <c r="E7" s="136" t="s">
        <v>85</v>
      </c>
    </row>
    <row r="8" s="125" customFormat="true" ht="28" hidden="false" customHeight="true" outlineLevel="0" collapsed="false">
      <c r="B8" s="133" t="s">
        <v>86</v>
      </c>
      <c r="C8" s="134"/>
      <c r="D8" s="135" t="s">
        <v>87</v>
      </c>
      <c r="E8" s="136" t="s">
        <v>85</v>
      </c>
    </row>
    <row r="9" s="125" customFormat="true" ht="28" hidden="false" customHeight="true" outlineLevel="0" collapsed="false">
      <c r="B9" s="133" t="s">
        <v>83</v>
      </c>
      <c r="C9" s="134"/>
      <c r="D9" s="135" t="s">
        <v>88</v>
      </c>
      <c r="E9" s="136" t="s">
        <v>85</v>
      </c>
    </row>
    <row r="10" s="137" customFormat="true" ht="16" hidden="false" customHeight="true" outlineLevel="0" collapsed="false">
      <c r="B10" s="138" t="s">
        <v>89</v>
      </c>
      <c r="C10" s="138"/>
      <c r="D10" s="138"/>
      <c r="E10" s="138"/>
      <c r="F10" s="139"/>
    </row>
    <row r="11" s="125" customFormat="true" ht="28" hidden="false" customHeight="true" outlineLevel="0" collapsed="false">
      <c r="B11" s="133" t="s">
        <v>83</v>
      </c>
      <c r="C11" s="134"/>
      <c r="D11" s="135" t="s">
        <v>90</v>
      </c>
      <c r="E11" s="136" t="s">
        <v>85</v>
      </c>
    </row>
    <row r="12" s="125" customFormat="true" ht="28" hidden="false" customHeight="true" outlineLevel="0" collapsed="false">
      <c r="B12" s="133" t="s">
        <v>91</v>
      </c>
      <c r="C12" s="134"/>
      <c r="D12" s="135" t="s">
        <v>92</v>
      </c>
      <c r="E12" s="136" t="s">
        <v>85</v>
      </c>
    </row>
    <row r="13" s="125" customFormat="true" ht="28" hidden="false" customHeight="true" outlineLevel="0" collapsed="false">
      <c r="B13" s="133" t="s">
        <v>93</v>
      </c>
      <c r="C13" s="134"/>
      <c r="D13" s="135" t="s">
        <v>94</v>
      </c>
      <c r="E13" s="136" t="s">
        <v>85</v>
      </c>
    </row>
    <row r="14" s="140" customFormat="true" ht="16" hidden="false" customHeight="true" outlineLevel="0" collapsed="false">
      <c r="B14" s="141" t="s">
        <v>95</v>
      </c>
      <c r="C14" s="141"/>
      <c r="D14" s="141"/>
      <c r="E14" s="141"/>
      <c r="F14" s="142"/>
    </row>
    <row r="15" s="125" customFormat="true" ht="28" hidden="false" customHeight="true" outlineLevel="0" collapsed="false">
      <c r="B15" s="133" t="s">
        <v>83</v>
      </c>
      <c r="C15" s="134"/>
      <c r="D15" s="135" t="s">
        <v>96</v>
      </c>
      <c r="E15" s="136" t="s">
        <v>85</v>
      </c>
    </row>
    <row r="16" s="125" customFormat="true" ht="28" hidden="false" customHeight="true" outlineLevel="0" collapsed="false">
      <c r="B16" s="133" t="s">
        <v>97</v>
      </c>
      <c r="C16" s="134"/>
      <c r="D16" s="135" t="s">
        <v>98</v>
      </c>
      <c r="E16" s="136" t="s">
        <v>85</v>
      </c>
    </row>
    <row r="17" s="125" customFormat="true" ht="28" hidden="false" customHeight="true" outlineLevel="0" collapsed="false">
      <c r="B17" s="133" t="s">
        <v>99</v>
      </c>
      <c r="C17" s="134"/>
      <c r="D17" s="135" t="s">
        <v>100</v>
      </c>
      <c r="E17" s="136" t="s">
        <v>85</v>
      </c>
    </row>
    <row r="18" s="125" customFormat="true" ht="28" hidden="false" customHeight="true" outlineLevel="0" collapsed="false">
      <c r="B18" s="143" t="s">
        <v>91</v>
      </c>
      <c r="C18" s="144"/>
      <c r="D18" s="145" t="s">
        <v>101</v>
      </c>
      <c r="E18" s="146" t="s">
        <v>85</v>
      </c>
    </row>
    <row r="19" s="140" customFormat="true" ht="13" hidden="false" customHeight="false" outlineLevel="0" collapsed="false">
      <c r="D19" s="142"/>
      <c r="E19" s="147"/>
      <c r="F19" s="142"/>
    </row>
    <row r="20" s="140" customFormat="true" ht="13" hidden="false" customHeight="false" outlineLevel="0" collapsed="false">
      <c r="D20" s="142"/>
      <c r="E20" s="147"/>
      <c r="F20" s="142"/>
    </row>
    <row r="21" s="140" customFormat="true" ht="13" hidden="false" customHeight="false" outlineLevel="0" collapsed="false">
      <c r="D21" s="142"/>
      <c r="E21" s="147"/>
      <c r="F21" s="142"/>
    </row>
    <row r="22" s="140" customFormat="true" ht="13" hidden="false" customHeight="false" outlineLevel="0" collapsed="false">
      <c r="D22" s="142"/>
      <c r="E22" s="147"/>
      <c r="F22" s="142"/>
    </row>
    <row r="23" s="140" customFormat="true" ht="13" hidden="false" customHeight="false" outlineLevel="0" collapsed="false">
      <c r="D23" s="142"/>
      <c r="E23" s="147"/>
      <c r="F23" s="142"/>
    </row>
    <row r="24" s="140" customFormat="true" ht="13" hidden="false" customHeight="false" outlineLevel="0" collapsed="false">
      <c r="D24" s="142"/>
      <c r="E24" s="147"/>
      <c r="F24" s="142"/>
    </row>
    <row r="25" s="140" customFormat="true" ht="13" hidden="false" customHeight="false" outlineLevel="0" collapsed="false">
      <c r="D25" s="142"/>
      <c r="E25" s="147"/>
      <c r="F25" s="142"/>
    </row>
    <row r="26" s="140" customFormat="true" ht="13" hidden="false" customHeight="false" outlineLevel="0" collapsed="false">
      <c r="D26" s="142"/>
      <c r="E26" s="147"/>
      <c r="F26" s="142"/>
    </row>
    <row r="27" s="140" customFormat="true" ht="13" hidden="false" customHeight="false" outlineLevel="0" collapsed="false">
      <c r="D27" s="142"/>
      <c r="E27" s="147"/>
      <c r="F27" s="142"/>
    </row>
    <row r="28" s="140" customFormat="true" ht="13" hidden="false" customHeight="false" outlineLevel="0" collapsed="false">
      <c r="D28" s="142"/>
      <c r="E28" s="147"/>
      <c r="F28" s="142"/>
    </row>
    <row r="29" s="140" customFormat="true" ht="13" hidden="false" customHeight="false" outlineLevel="0" collapsed="false">
      <c r="D29" s="142"/>
      <c r="E29" s="147"/>
      <c r="F29" s="142"/>
    </row>
    <row r="30" s="140" customFormat="true" ht="13" hidden="false" customHeight="false" outlineLevel="0" collapsed="false">
      <c r="D30" s="142"/>
      <c r="E30" s="147"/>
      <c r="F30" s="142"/>
    </row>
    <row r="31" s="148" customFormat="true" ht="14" hidden="false" customHeight="false" outlineLevel="0" collapsed="false">
      <c r="D31" s="149"/>
      <c r="E31" s="150"/>
      <c r="F31" s="149"/>
    </row>
    <row r="32" s="148" customFormat="true" ht="14" hidden="false" customHeight="false" outlineLevel="0" collapsed="false">
      <c r="D32" s="149"/>
      <c r="E32" s="150"/>
      <c r="F32" s="149"/>
    </row>
    <row r="33" s="148" customFormat="true" ht="14" hidden="false" customHeight="false" outlineLevel="0" collapsed="false">
      <c r="D33" s="149"/>
      <c r="E33" s="150"/>
      <c r="F33" s="149"/>
    </row>
    <row r="34" s="148" customFormat="true" ht="14" hidden="false" customHeight="false" outlineLevel="0" collapsed="false">
      <c r="D34" s="149"/>
      <c r="E34" s="150"/>
      <c r="F34" s="149"/>
    </row>
    <row r="35" s="148" customFormat="true" ht="14" hidden="false" customHeight="false" outlineLevel="0" collapsed="false">
      <c r="D35" s="149"/>
      <c r="E35" s="150"/>
      <c r="F35" s="149"/>
    </row>
    <row r="36" s="148" customFormat="true" ht="14" hidden="false" customHeight="false" outlineLevel="0" collapsed="false">
      <c r="D36" s="149"/>
      <c r="E36" s="150"/>
      <c r="F36" s="149"/>
    </row>
    <row r="37" s="148" customFormat="true" ht="14" hidden="false" customHeight="false" outlineLevel="0" collapsed="false">
      <c r="D37" s="149"/>
      <c r="E37" s="150"/>
      <c r="F37" s="149"/>
    </row>
    <row r="38" s="148" customFormat="true" ht="14" hidden="false" customHeight="false" outlineLevel="0" collapsed="false">
      <c r="D38" s="149"/>
      <c r="E38" s="150"/>
      <c r="F38" s="149"/>
    </row>
    <row r="39" s="148" customFormat="true" ht="14" hidden="false" customHeight="false" outlineLevel="0" collapsed="false">
      <c r="D39" s="149"/>
      <c r="E39" s="150"/>
      <c r="F39" s="149"/>
    </row>
    <row r="40" s="148" customFormat="true" ht="14" hidden="false" customHeight="false" outlineLevel="0" collapsed="false">
      <c r="D40" s="149"/>
      <c r="E40" s="150"/>
      <c r="F40" s="149"/>
    </row>
    <row r="41" s="148" customFormat="true" ht="14" hidden="false" customHeight="false" outlineLevel="0" collapsed="false">
      <c r="D41" s="149"/>
      <c r="E41" s="150"/>
      <c r="F41" s="149"/>
    </row>
    <row r="42" s="148" customFormat="true" ht="14" hidden="false" customHeight="false" outlineLevel="0" collapsed="false">
      <c r="D42" s="149"/>
      <c r="E42" s="150"/>
      <c r="F42" s="117"/>
    </row>
    <row r="43" s="148" customFormat="true" ht="14" hidden="false" customHeight="false" outlineLevel="0" collapsed="false">
      <c r="D43" s="149"/>
      <c r="E43" s="150"/>
      <c r="F43" s="117"/>
    </row>
    <row r="44" s="148" customFormat="true" ht="14" hidden="false" customHeight="false" outlineLevel="0" collapsed="false">
      <c r="D44" s="149"/>
      <c r="E44" s="150"/>
      <c r="F44" s="117"/>
    </row>
    <row r="45" customFormat="false" ht="14" hidden="false" customHeight="false" outlineLevel="0" collapsed="false">
      <c r="B45" s="148"/>
      <c r="C45" s="148"/>
      <c r="D45" s="149"/>
      <c r="E45" s="150"/>
    </row>
    <row r="46" customFormat="false" ht="14" hidden="false" customHeight="false" outlineLevel="0" collapsed="false">
      <c r="B46" s="148"/>
      <c r="C46" s="148"/>
      <c r="D46" s="149"/>
      <c r="E46" s="150"/>
    </row>
    <row r="47" customFormat="false" ht="14" hidden="false" customHeight="false" outlineLevel="0" collapsed="false">
      <c r="B47" s="148"/>
      <c r="C47" s="148"/>
      <c r="D47" s="149"/>
      <c r="E47" s="150"/>
    </row>
    <row r="48" customFormat="false" ht="14" hidden="false" customHeight="false" outlineLevel="0" collapsed="false">
      <c r="B48" s="148"/>
      <c r="C48" s="148"/>
      <c r="D48" s="149"/>
      <c r="E48" s="150"/>
    </row>
    <row r="49" customFormat="false" ht="14" hidden="false" customHeight="false" outlineLevel="0" collapsed="false">
      <c r="B49" s="148"/>
      <c r="C49" s="148"/>
      <c r="D49" s="149"/>
      <c r="E49" s="150"/>
    </row>
    <row r="50" customFormat="false" ht="14" hidden="false" customHeight="false" outlineLevel="0" collapsed="false">
      <c r="B50" s="148"/>
      <c r="C50" s="148"/>
      <c r="D50" s="149"/>
      <c r="E50" s="150"/>
    </row>
    <row r="51" customFormat="false" ht="14" hidden="false" customHeight="false" outlineLevel="0" collapsed="false">
      <c r="B51" s="148"/>
      <c r="C51" s="148"/>
      <c r="D51" s="149"/>
      <c r="E51" s="150"/>
    </row>
    <row r="52" customFormat="false" ht="14" hidden="false" customHeight="false" outlineLevel="0" collapsed="false">
      <c r="B52" s="148"/>
      <c r="C52" s="148"/>
      <c r="D52" s="149"/>
      <c r="E52" s="150"/>
    </row>
    <row r="53" customFormat="false" ht="14" hidden="false" customHeight="false" outlineLevel="0" collapsed="false">
      <c r="B53" s="148"/>
      <c r="C53" s="148"/>
      <c r="D53" s="149"/>
      <c r="E53" s="150"/>
    </row>
    <row r="54" customFormat="false" ht="14" hidden="false" customHeight="false" outlineLevel="0" collapsed="false">
      <c r="B54" s="148"/>
      <c r="C54" s="148"/>
      <c r="D54" s="149"/>
      <c r="E54" s="150"/>
    </row>
    <row r="55" customFormat="false" ht="14" hidden="false" customHeight="false" outlineLevel="0" collapsed="false">
      <c r="B55" s="148"/>
      <c r="C55" s="148"/>
      <c r="D55" s="149"/>
      <c r="E55" s="150"/>
    </row>
    <row r="56" customFormat="false" ht="14" hidden="false" customHeight="false" outlineLevel="0" collapsed="false">
      <c r="B56" s="148"/>
      <c r="C56" s="148"/>
      <c r="D56" s="149"/>
      <c r="E56" s="150"/>
    </row>
    <row r="57" customFormat="false" ht="14" hidden="false" customHeight="false" outlineLevel="0" collapsed="false">
      <c r="B57" s="148"/>
      <c r="C57" s="148"/>
      <c r="D57" s="149"/>
      <c r="E57" s="150"/>
    </row>
    <row r="58" customFormat="false" ht="14" hidden="false" customHeight="false" outlineLevel="0" collapsed="false">
      <c r="B58" s="148"/>
      <c r="C58" s="148"/>
      <c r="D58" s="149"/>
      <c r="E58" s="150"/>
    </row>
    <row r="59" customFormat="false" ht="14" hidden="false" customHeight="false" outlineLevel="0" collapsed="false">
      <c r="B59" s="148"/>
      <c r="C59" s="148"/>
      <c r="D59" s="149"/>
      <c r="E59" s="150"/>
    </row>
    <row r="60" customFormat="false" ht="14" hidden="false" customHeight="false" outlineLevel="0" collapsed="false">
      <c r="B60" s="148"/>
      <c r="C60" s="148"/>
      <c r="D60" s="149"/>
      <c r="E60" s="150"/>
    </row>
    <row r="61" customFormat="false" ht="14" hidden="false" customHeight="false" outlineLevel="0" collapsed="false">
      <c r="B61" s="148"/>
      <c r="C61" s="148"/>
      <c r="D61" s="149"/>
      <c r="E61" s="150"/>
    </row>
    <row r="62" customFormat="false" ht="14" hidden="false" customHeight="false" outlineLevel="0" collapsed="false">
      <c r="B62" s="148"/>
      <c r="C62" s="148"/>
      <c r="D62" s="149"/>
      <c r="E62" s="150"/>
    </row>
    <row r="63" customFormat="false" ht="14" hidden="false" customHeight="false" outlineLevel="0" collapsed="false">
      <c r="B63" s="148"/>
      <c r="C63" s="148"/>
      <c r="D63" s="149"/>
      <c r="E63" s="150"/>
    </row>
    <row r="64" customFormat="false" ht="14" hidden="false" customHeight="false" outlineLevel="0" collapsed="false">
      <c r="B64" s="148"/>
      <c r="C64" s="148"/>
      <c r="D64" s="149"/>
      <c r="E64" s="150"/>
    </row>
    <row r="65" customFormat="false" ht="14" hidden="false" customHeight="false" outlineLevel="0" collapsed="false">
      <c r="B65" s="148"/>
      <c r="C65" s="148"/>
      <c r="D65" s="149"/>
      <c r="E65" s="150"/>
    </row>
    <row r="66" customFormat="false" ht="14" hidden="false" customHeight="false" outlineLevel="0" collapsed="false">
      <c r="B66" s="148"/>
      <c r="C66" s="148"/>
      <c r="D66" s="149"/>
      <c r="E66" s="150"/>
    </row>
    <row r="67" customFormat="false" ht="14" hidden="false" customHeight="false" outlineLevel="0" collapsed="false">
      <c r="B67" s="148"/>
      <c r="C67" s="148"/>
      <c r="D67" s="149"/>
      <c r="E67" s="150"/>
    </row>
    <row r="68" customFormat="false" ht="14" hidden="false" customHeight="false" outlineLevel="0" collapsed="false">
      <c r="B68" s="148"/>
      <c r="C68" s="148"/>
      <c r="D68" s="149"/>
      <c r="E68" s="150"/>
    </row>
    <row r="69" customFormat="false" ht="14" hidden="false" customHeight="false" outlineLevel="0" collapsed="false">
      <c r="B69" s="148"/>
      <c r="C69" s="148"/>
      <c r="D69" s="149"/>
      <c r="E69" s="150"/>
    </row>
  </sheetData>
  <sheetProtection sheet="true" objects="true" scenarios="true"/>
  <mergeCells count="3">
    <mergeCell ref="B3:E3"/>
    <mergeCell ref="B10:E10"/>
    <mergeCell ref="B14:E14"/>
  </mergeCells>
  <conditionalFormatting sqref="C8">
    <cfRule type="expression" priority="2" aboveAverage="0" equalAverage="0" bottom="0" percent="0" rank="0" text="" dxfId="5">
      <formula>LEN(C8)&lt;8</formula>
    </cfRule>
  </conditionalFormatting>
  <conditionalFormatting sqref="C9">
    <cfRule type="expression" priority="3" aboveAverage="0" equalAverage="0" bottom="0" percent="0" rank="0" text="" dxfId="6">
      <formula>LEN(C9)&lt;8</formula>
    </cfRule>
  </conditionalFormatting>
  <conditionalFormatting sqref="C15">
    <cfRule type="expression" priority="4" aboveAverage="0" equalAverage="0" bottom="0" percent="0" rank="0" text="" dxfId="7">
      <formula>LEN(C15)&lt;8</formula>
    </cfRule>
  </conditionalFormatting>
  <conditionalFormatting sqref="C7">
    <cfRule type="expression" priority="5" aboveAverage="0" equalAverage="0" bottom="0" percent="0" rank="0" text="" dxfId="8">
      <formula>LEN(C7)&gt;40</formula>
    </cfRule>
    <cfRule type="expression" priority="6" aboveAverage="0" equalAverage="0" bottom="0" percent="0" rank="0" text="" dxfId="9">
      <formula>LEN(C7)&lt;8</formula>
    </cfRule>
  </conditionalFormatting>
  <conditionalFormatting sqref="C13">
    <cfRule type="expression" priority="7" aboveAverage="0" equalAverage="0" bottom="0" percent="0" rank="0" text="" dxfId="10">
      <formula>LEN(C13)&lt;12</formula>
    </cfRule>
  </conditionalFormatting>
  <conditionalFormatting sqref="C12">
    <cfRule type="expression" priority="8" aboveAverage="0" equalAverage="0" bottom="0" percent="0" rank="0" text="" dxfId="11">
      <formula>LEN(C12)&lt;8</formula>
    </cfRule>
  </conditionalFormatting>
  <conditionalFormatting sqref="C16">
    <cfRule type="expression" priority="9" aboveAverage="0" equalAverage="0" bottom="0" percent="0" rank="0" text="" dxfId="12">
      <formula>LEN(C16)&lt;8</formula>
    </cfRule>
  </conditionalFormatting>
  <conditionalFormatting sqref="C11 C17">
    <cfRule type="expression" priority="10" aboveAverage="0" equalAverage="0" bottom="0" percent="0" rank="0" text="" dxfId="13">
      <formula>LEN(C11)&lt;8</formula>
    </cfRule>
  </conditionalFormatting>
  <conditionalFormatting sqref="C18">
    <cfRule type="expression" priority="11" aboveAverage="0" equalAverage="0" bottom="0" percent="0" rank="0" text="" dxfId="14">
      <formula>LEN(C18)&lt;8</formula>
    </cfRule>
  </conditionalFormatting>
  <dataValidations count="3">
    <dataValidation allowBlank="true" error="Password must be minimum of 8 and maximum 12 characters length" errorTitle="Password Length Error" operator="between" prompt="At least 8 characters, but no more than 20 characters in length &#10;At least one lower-case letter&#10;At least one upper-case letter&#10;At least one digit&#10;At least one special char (e.g: @!#$%?^)" promptTitle="Password Policy" showDropDown="false" showErrorMessage="true" showInputMessage="true" sqref="C9" type="textLength">
      <formula1>8</formula1>
      <formula2>20</formula2>
    </dataValidation>
    <dataValidation allowBlank="true" error="Password must be minimum of 8 and maximum 20 characters length" errorTitle="Password Length Error" operator="between" prompt="8-20 character length, atleast one Uppercase, lowercase, number &amp; special character (e.g: @!#$%?^)" promptTitle="Password Policy" showDropDown="false" showErrorMessage="true" showInputMessage="true" sqref="C8 C15:C16 C18" type="textLength">
      <formula1>8</formula1>
      <formula2>20</formula2>
    </dataValidation>
    <dataValidation allowBlank="true" error="Password must be minimum of 12 and maximum 255 characters length" errorTitle="Password Length Error" operator="between" prompt="At least 12 characters&#10;At least one lower-case letter&#10;At least one upper-case letter&#10;At least one digit&#10;At least one special char&#10;At least five different char&#10;NO three same consecutive chars&#10;NOT a dictionary word&#10;NOT more than four monotonic char sequence" promptTitle="Password Policy" showDropDown="false" showErrorMessage="true" showInputMessage="true" sqref="C11:C13 C17" type="textLength">
      <formula1>12</formula1>
      <formula2>255</formula2>
    </dataValidation>
  </dataValidations>
  <printOptions headings="false" gridLines="false" gridLinesSet="true" horizontalCentered="true" verticalCentered="false"/>
  <pageMargins left="0.5" right="0.5" top="0.5" bottom="0.5" header="0.511805555555555" footer="0.2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&amp;L&amp;8http://www.vertex42.com/ExcelTemplates/spring-cleaning-checklist.html</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C156"/>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pane xSplit="0" ySplit="4" topLeftCell="A5" activePane="bottomLeft" state="frozen"/>
      <selection pane="topLeft" activeCell="A1" activeCellId="0" sqref="A1"/>
      <selection pane="bottomLeft" activeCell="E25" activeCellId="0" sqref="E25"/>
    </sheetView>
  </sheetViews>
  <sheetFormatPr defaultColWidth="12.34375" defaultRowHeight="13" zeroHeight="false" outlineLevelRow="0" outlineLevelCol="0"/>
  <cols>
    <col collapsed="false" customWidth="true" hidden="false" outlineLevel="0" max="1" min="1" style="151" width="1.16"/>
    <col collapsed="false" customWidth="true" hidden="false" outlineLevel="0" max="2" min="2" style="152" width="18.85"/>
    <col collapsed="false" customWidth="true" hidden="false" outlineLevel="0" max="3" min="3" style="152" width="7.34"/>
    <col collapsed="false" customWidth="true" hidden="false" outlineLevel="0" max="4" min="4" style="152" width="28.84"/>
    <col collapsed="false" customWidth="true" hidden="false" outlineLevel="0" max="6" min="5" style="152" width="16.83"/>
    <col collapsed="false" customWidth="true" hidden="false" outlineLevel="0" max="7" min="7" style="152" width="6.35"/>
    <col collapsed="false" customWidth="true" hidden="false" outlineLevel="0" max="8" min="8" style="151" width="2.33"/>
    <col collapsed="false" customWidth="true" hidden="false" outlineLevel="0" max="12" min="9" style="152" width="26.66"/>
    <col collapsed="false" customWidth="true" hidden="false" outlineLevel="0" max="13" min="13" style="151" width="26.83"/>
    <col collapsed="false" customWidth="true" hidden="false" outlineLevel="0" max="16" min="14" style="151" width="27.65"/>
    <col collapsed="false" customWidth="false" hidden="false" outlineLevel="0" max="29" min="17" style="151" width="12.33"/>
    <col collapsed="false" customWidth="false" hidden="false" outlineLevel="0" max="1024" min="30" style="152" width="12.33"/>
  </cols>
  <sheetData>
    <row r="1" s="151" customFormat="true" ht="48" hidden="false" customHeight="true" outlineLevel="0" collapsed="false">
      <c r="M1" s="153"/>
      <c r="N1" s="153"/>
      <c r="O1" s="153"/>
      <c r="P1" s="153"/>
    </row>
    <row r="2" s="154" customFormat="true" ht="2.25" hidden="false" customHeight="true" outlineLevel="0" collapsed="false">
      <c r="D2" s="155"/>
      <c r="E2" s="156"/>
      <c r="F2" s="156"/>
    </row>
    <row r="3" s="154" customFormat="true" ht="60" hidden="false" customHeight="true" outlineLevel="0" collapsed="false">
      <c r="B3" s="157" t="s">
        <v>102</v>
      </c>
      <c r="C3" s="157"/>
      <c r="D3" s="157"/>
      <c r="E3" s="157"/>
      <c r="F3" s="157"/>
      <c r="G3" s="157"/>
      <c r="H3" s="157"/>
      <c r="I3" s="157"/>
      <c r="J3" s="157"/>
      <c r="K3" s="157"/>
      <c r="L3" s="157"/>
    </row>
    <row r="4" s="125" customFormat="true" ht="4" hidden="false" customHeight="true" outlineLevel="0" collapsed="false">
      <c r="A4" s="158"/>
      <c r="B4" s="158"/>
      <c r="C4" s="158"/>
      <c r="D4" s="159"/>
      <c r="E4" s="159"/>
      <c r="F4" s="159"/>
      <c r="G4" s="158"/>
      <c r="H4" s="158"/>
      <c r="I4" s="158"/>
      <c r="J4" s="158"/>
      <c r="K4" s="158"/>
      <c r="L4" s="154"/>
      <c r="M4" s="154"/>
      <c r="N4" s="158"/>
      <c r="O4" s="158"/>
      <c r="P4" s="158"/>
      <c r="Q4" s="158"/>
      <c r="R4" s="158"/>
      <c r="S4" s="158"/>
      <c r="T4" s="158"/>
      <c r="U4" s="158"/>
      <c r="V4" s="158"/>
      <c r="W4" s="158"/>
      <c r="X4" s="158"/>
      <c r="Y4" s="158"/>
      <c r="Z4" s="158"/>
      <c r="AA4" s="158"/>
      <c r="AB4" s="158"/>
    </row>
    <row r="5" s="163" customFormat="true" ht="16" hidden="false" customHeight="true" outlineLevel="0" collapsed="false">
      <c r="A5" s="153"/>
      <c r="B5" s="160" t="s">
        <v>103</v>
      </c>
      <c r="C5" s="160"/>
      <c r="D5" s="160"/>
      <c r="E5" s="160"/>
      <c r="F5" s="160"/>
      <c r="G5" s="160"/>
      <c r="H5" s="161"/>
      <c r="I5" s="162" t="s">
        <v>104</v>
      </c>
      <c r="J5" s="162"/>
      <c r="K5" s="162"/>
      <c r="L5" s="162"/>
      <c r="M5" s="153"/>
      <c r="N5" s="153"/>
      <c r="O5" s="153"/>
      <c r="P5" s="153"/>
      <c r="Q5" s="153"/>
      <c r="R5" s="153"/>
      <c r="S5" s="153"/>
      <c r="T5" s="153"/>
      <c r="U5" s="153"/>
      <c r="V5" s="153"/>
      <c r="W5" s="153"/>
      <c r="X5" s="153"/>
      <c r="Y5" s="153"/>
      <c r="Z5" s="153"/>
      <c r="AA5" s="153"/>
      <c r="AB5" s="153"/>
      <c r="AC5" s="153"/>
    </row>
    <row r="6" s="163" customFormat="true" ht="16" hidden="false" customHeight="true" outlineLevel="0" collapsed="false">
      <c r="A6" s="153"/>
      <c r="B6" s="164" t="s">
        <v>105</v>
      </c>
      <c r="C6" s="165" t="s">
        <v>106</v>
      </c>
      <c r="D6" s="165" t="s">
        <v>107</v>
      </c>
      <c r="E6" s="165" t="s">
        <v>108</v>
      </c>
      <c r="F6" s="165" t="s">
        <v>109</v>
      </c>
      <c r="G6" s="166" t="s">
        <v>110</v>
      </c>
      <c r="H6" s="167"/>
      <c r="I6" s="168" t="s">
        <v>111</v>
      </c>
      <c r="J6" s="169" t="s">
        <v>112</v>
      </c>
      <c r="K6" s="169" t="s">
        <v>113</v>
      </c>
      <c r="L6" s="170" t="s">
        <v>114</v>
      </c>
      <c r="M6" s="153"/>
      <c r="N6" s="153"/>
      <c r="O6" s="153"/>
      <c r="P6" s="153"/>
      <c r="Q6" s="153"/>
      <c r="R6" s="153"/>
      <c r="S6" s="153"/>
      <c r="T6" s="153"/>
      <c r="U6" s="153"/>
      <c r="V6" s="153"/>
      <c r="W6" s="153"/>
      <c r="X6" s="153"/>
      <c r="Y6" s="153"/>
      <c r="Z6" s="153"/>
      <c r="AA6" s="153"/>
      <c r="AB6" s="153"/>
      <c r="AC6" s="153"/>
    </row>
    <row r="7" s="163" customFormat="true" ht="16" hidden="false" customHeight="true" outlineLevel="0" collapsed="false">
      <c r="A7" s="153"/>
      <c r="B7" s="171" t="s">
        <v>115</v>
      </c>
      <c r="C7" s="172" t="s">
        <v>116</v>
      </c>
      <c r="D7" s="173" t="s">
        <v>117</v>
      </c>
      <c r="E7" s="172" t="s">
        <v>118</v>
      </c>
      <c r="F7" s="172" t="s">
        <v>119</v>
      </c>
      <c r="G7" s="174" t="n">
        <v>1500</v>
      </c>
      <c r="H7" s="175"/>
      <c r="I7" s="176" t="s">
        <v>120</v>
      </c>
      <c r="J7" s="172" t="s">
        <v>121</v>
      </c>
      <c r="K7" s="172" t="s">
        <v>122</v>
      </c>
      <c r="L7" s="177" t="s">
        <v>123</v>
      </c>
      <c r="M7" s="153"/>
      <c r="N7" s="153"/>
      <c r="O7" s="153"/>
      <c r="P7" s="153"/>
      <c r="Q7" s="153"/>
      <c r="R7" s="153"/>
      <c r="S7" s="153"/>
      <c r="T7" s="153"/>
      <c r="U7" s="153"/>
      <c r="V7" s="153"/>
      <c r="W7" s="153"/>
      <c r="X7" s="153"/>
      <c r="Y7" s="153"/>
      <c r="Z7" s="153"/>
      <c r="AA7" s="153"/>
      <c r="AB7" s="153"/>
      <c r="AC7" s="153"/>
    </row>
    <row r="8" s="163" customFormat="true" ht="16" hidden="false" customHeight="true" outlineLevel="0" collapsed="false">
      <c r="A8" s="153"/>
      <c r="B8" s="171" t="s">
        <v>124</v>
      </c>
      <c r="C8" s="178" t="s">
        <v>125</v>
      </c>
      <c r="D8" s="179" t="s">
        <v>126</v>
      </c>
      <c r="E8" s="178" t="s">
        <v>127</v>
      </c>
      <c r="F8" s="178" t="s">
        <v>128</v>
      </c>
      <c r="G8" s="180" t="n">
        <v>8490</v>
      </c>
      <c r="H8" s="175"/>
      <c r="I8" s="171" t="s">
        <v>129</v>
      </c>
      <c r="J8" s="178" t="s">
        <v>130</v>
      </c>
      <c r="K8" s="181" t="s">
        <v>131</v>
      </c>
      <c r="L8" s="182" t="s">
        <v>132</v>
      </c>
      <c r="M8" s="153"/>
      <c r="N8" s="153"/>
      <c r="O8" s="153"/>
      <c r="P8" s="153"/>
      <c r="Q8" s="153"/>
      <c r="R8" s="153"/>
      <c r="S8" s="153"/>
      <c r="T8" s="153"/>
      <c r="U8" s="153"/>
      <c r="V8" s="153"/>
      <c r="W8" s="153"/>
      <c r="X8" s="153"/>
      <c r="Y8" s="153"/>
      <c r="Z8" s="153"/>
      <c r="AA8" s="153"/>
      <c r="AB8" s="153"/>
      <c r="AC8" s="153"/>
    </row>
    <row r="9" s="163" customFormat="true" ht="16" hidden="false" customHeight="true" outlineLevel="0" collapsed="false">
      <c r="A9" s="153"/>
      <c r="B9" s="171" t="s">
        <v>133</v>
      </c>
      <c r="C9" s="178" t="s">
        <v>134</v>
      </c>
      <c r="D9" s="179" t="s">
        <v>135</v>
      </c>
      <c r="E9" s="178" t="s">
        <v>136</v>
      </c>
      <c r="F9" s="178" t="s">
        <v>137</v>
      </c>
      <c r="G9" s="180" t="n">
        <v>8490</v>
      </c>
      <c r="H9" s="175"/>
      <c r="I9" s="183" t="s">
        <v>138</v>
      </c>
      <c r="J9" s="184" t="s">
        <v>139</v>
      </c>
      <c r="K9" s="185" t="s">
        <v>140</v>
      </c>
      <c r="L9" s="186" t="s">
        <v>141</v>
      </c>
      <c r="M9" s="153"/>
      <c r="N9" s="153"/>
      <c r="O9" s="153"/>
      <c r="P9" s="153"/>
      <c r="Q9" s="153"/>
      <c r="R9" s="153"/>
      <c r="S9" s="153"/>
      <c r="T9" s="153"/>
      <c r="U9" s="153"/>
      <c r="V9" s="153"/>
      <c r="W9" s="153"/>
      <c r="X9" s="153"/>
      <c r="Y9" s="153"/>
      <c r="Z9" s="153"/>
      <c r="AA9" s="153"/>
      <c r="AB9" s="153"/>
      <c r="AC9" s="153"/>
    </row>
    <row r="10" s="163" customFormat="true" ht="16" hidden="false" customHeight="true" outlineLevel="0" collapsed="false">
      <c r="A10" s="153"/>
      <c r="B10" s="171" t="s">
        <v>142</v>
      </c>
      <c r="C10" s="187" t="n">
        <v>205</v>
      </c>
      <c r="D10" s="188" t="s">
        <v>143</v>
      </c>
      <c r="E10" s="187" t="s">
        <v>144</v>
      </c>
      <c r="F10" s="187" t="s">
        <v>145</v>
      </c>
      <c r="G10" s="189" t="n">
        <v>8490</v>
      </c>
      <c r="H10" s="175"/>
      <c r="I10" s="190"/>
      <c r="J10" s="190"/>
      <c r="K10" s="190"/>
      <c r="L10" s="190"/>
      <c r="M10" s="153"/>
      <c r="N10" s="153"/>
      <c r="O10" s="153"/>
      <c r="P10" s="153"/>
      <c r="Q10" s="153"/>
      <c r="R10" s="153"/>
      <c r="S10" s="153"/>
      <c r="T10" s="153"/>
      <c r="U10" s="153"/>
      <c r="V10" s="153"/>
      <c r="W10" s="153"/>
      <c r="X10" s="153"/>
      <c r="Y10" s="153"/>
      <c r="Z10" s="153"/>
      <c r="AA10" s="153"/>
      <c r="AB10" s="153"/>
      <c r="AC10" s="153"/>
    </row>
    <row r="11" s="153" customFormat="true" ht="16" hidden="false" customHeight="true" outlineLevel="0" collapsed="false">
      <c r="B11" s="171" t="s">
        <v>146</v>
      </c>
      <c r="C11" s="191" t="n">
        <v>206</v>
      </c>
      <c r="D11" s="192" t="s">
        <v>147</v>
      </c>
      <c r="E11" s="191" t="s">
        <v>148</v>
      </c>
      <c r="F11" s="191" t="s">
        <v>149</v>
      </c>
      <c r="G11" s="193" t="n">
        <v>8490</v>
      </c>
      <c r="H11" s="194"/>
      <c r="I11" s="195" t="s">
        <v>150</v>
      </c>
      <c r="J11" s="196" t="s">
        <v>151</v>
      </c>
      <c r="K11" s="197" t="s">
        <v>152</v>
      </c>
      <c r="L11" s="151"/>
      <c r="M11" s="151"/>
      <c r="N11" s="151"/>
      <c r="O11" s="151"/>
      <c r="P11" s="151"/>
    </row>
    <row r="12" customFormat="false" ht="12.8" hidden="false" customHeight="false" outlineLevel="0" collapsed="false">
      <c r="B12" s="183" t="s">
        <v>153</v>
      </c>
      <c r="C12" s="198" t="n">
        <v>204</v>
      </c>
      <c r="D12" s="199" t="s">
        <v>154</v>
      </c>
      <c r="E12" s="198" t="s">
        <v>155</v>
      </c>
      <c r="F12" s="198" t="s">
        <v>156</v>
      </c>
      <c r="G12" s="200" t="n">
        <v>8490</v>
      </c>
      <c r="I12" s="201" t="s">
        <v>157</v>
      </c>
      <c r="J12" s="202" t="s">
        <v>158</v>
      </c>
      <c r="K12" s="202"/>
      <c r="L12" s="203" t="s">
        <v>159</v>
      </c>
      <c r="M12" s="203"/>
    </row>
    <row r="13" customFormat="false" ht="16" hidden="false" customHeight="true" outlineLevel="0" collapsed="false">
      <c r="B13" s="151"/>
      <c r="C13" s="151"/>
      <c r="D13" s="151"/>
      <c r="E13" s="151"/>
      <c r="F13" s="151"/>
      <c r="G13" s="151"/>
      <c r="I13" s="204" t="s">
        <v>160</v>
      </c>
      <c r="J13" s="205" t="s">
        <v>161</v>
      </c>
      <c r="K13" s="205"/>
      <c r="L13" s="206" t="s">
        <v>162</v>
      </c>
      <c r="M13" s="206"/>
    </row>
    <row r="14" customFormat="false" ht="16" hidden="false" customHeight="true" outlineLevel="0" collapsed="false">
      <c r="B14" s="207" t="s">
        <v>163</v>
      </c>
      <c r="C14" s="207"/>
      <c r="D14" s="207"/>
      <c r="E14" s="208" t="s">
        <v>164</v>
      </c>
      <c r="F14" s="208"/>
      <c r="G14" s="151"/>
      <c r="I14" s="209" t="str">
        <f aca="false">I6</f>
        <v>gbb01-m01-esx01</v>
      </c>
      <c r="J14" s="210"/>
      <c r="K14" s="210"/>
      <c r="L14" s="211"/>
      <c r="M14" s="211"/>
    </row>
    <row r="15" customFormat="false" ht="16" hidden="false" customHeight="true" outlineLevel="0" collapsed="false">
      <c r="B15" s="212" t="s">
        <v>165</v>
      </c>
      <c r="C15" s="212"/>
      <c r="D15" s="212"/>
      <c r="E15" s="213" t="s">
        <v>166</v>
      </c>
      <c r="F15" s="213"/>
      <c r="G15" s="151"/>
      <c r="I15" s="209" t="str">
        <f aca="false">J6</f>
        <v>gbb01-m01-esx02</v>
      </c>
      <c r="J15" s="210"/>
      <c r="K15" s="210"/>
      <c r="L15" s="211"/>
      <c r="M15" s="211"/>
    </row>
    <row r="16" customFormat="false" ht="16" hidden="false" customHeight="true" outlineLevel="0" collapsed="false">
      <c r="B16" s="214" t="s">
        <v>167</v>
      </c>
      <c r="C16" s="214"/>
      <c r="D16" s="214"/>
      <c r="E16" s="215" t="s">
        <v>164</v>
      </c>
      <c r="F16" s="215"/>
      <c r="G16" s="151"/>
      <c r="I16" s="209" t="str">
        <f aca="false">K6</f>
        <v>gbb01-m01-esx03</v>
      </c>
      <c r="J16" s="210"/>
      <c r="K16" s="210"/>
      <c r="L16" s="211"/>
      <c r="M16" s="211"/>
    </row>
    <row r="17" customFormat="false" ht="12.8" hidden="false" customHeight="false" outlineLevel="0" collapsed="false">
      <c r="B17" s="212" t="s">
        <v>168</v>
      </c>
      <c r="C17" s="212"/>
      <c r="D17" s="212"/>
      <c r="E17" s="213" t="s">
        <v>169</v>
      </c>
      <c r="F17" s="213"/>
      <c r="G17" s="151"/>
      <c r="H17" s="216"/>
      <c r="I17" s="217" t="str">
        <f aca="false">L6</f>
        <v>gbb01-m01-esx04</v>
      </c>
      <c r="J17" s="218"/>
      <c r="K17" s="218"/>
      <c r="L17" s="219"/>
      <c r="M17" s="219"/>
    </row>
    <row r="18" customFormat="false" ht="12.8" hidden="false" customHeight="false" outlineLevel="0" collapsed="false">
      <c r="B18" s="212" t="s">
        <v>170</v>
      </c>
      <c r="C18" s="212"/>
      <c r="D18" s="212"/>
      <c r="E18" s="213" t="s">
        <v>171</v>
      </c>
      <c r="F18" s="213"/>
      <c r="G18" s="151"/>
      <c r="H18" s="216"/>
      <c r="I18" s="151"/>
      <c r="J18" s="151"/>
      <c r="K18" s="151"/>
      <c r="L18" s="151"/>
    </row>
    <row r="19" customFormat="false" ht="15" hidden="false" customHeight="false" outlineLevel="0" collapsed="false">
      <c r="B19" s="212" t="s">
        <v>172</v>
      </c>
      <c r="C19" s="212"/>
      <c r="D19" s="212"/>
      <c r="E19" s="220" t="s">
        <v>173</v>
      </c>
      <c r="F19" s="220"/>
      <c r="G19" s="151"/>
      <c r="I19" s="162" t="str">
        <f aca="false">IF(K23="No","NSX-T Host Overlay Network - DHCP","NSX-T Host Overlay Network - Static IP Pool in NSX-T")</f>
        <v>NSX-T Host Overlay Network - DHCP</v>
      </c>
      <c r="J19" s="162"/>
      <c r="K19" s="162"/>
      <c r="L19" s="162"/>
    </row>
    <row r="20" s="151" customFormat="true" ht="16" hidden="false" customHeight="false" outlineLevel="0" collapsed="false">
      <c r="B20" s="214" t="s">
        <v>174</v>
      </c>
      <c r="C20" s="214"/>
      <c r="D20" s="214"/>
      <c r="E20" s="215" t="s">
        <v>164</v>
      </c>
      <c r="F20" s="215"/>
    </row>
    <row r="21" s="151" customFormat="true" ht="16" hidden="false" customHeight="false" outlineLevel="0" collapsed="false">
      <c r="B21" s="212" t="s">
        <v>175</v>
      </c>
      <c r="C21" s="212"/>
      <c r="D21" s="212"/>
      <c r="E21" s="221" t="s">
        <v>154</v>
      </c>
      <c r="F21" s="221"/>
      <c r="I21" s="222" t="s">
        <v>176</v>
      </c>
      <c r="J21" s="223" t="n">
        <v>203</v>
      </c>
    </row>
    <row r="22" s="151" customFormat="true" ht="16" hidden="false" customHeight="false" outlineLevel="0" collapsed="false">
      <c r="B22" s="212" t="s">
        <v>177</v>
      </c>
      <c r="C22" s="212"/>
      <c r="D22" s="212"/>
      <c r="E22" s="221" t="s">
        <v>178</v>
      </c>
      <c r="F22" s="221"/>
    </row>
    <row r="23" s="151" customFormat="true" ht="16" hidden="false" customHeight="false" outlineLevel="0" collapsed="false">
      <c r="B23" s="224" t="s">
        <v>179</v>
      </c>
      <c r="C23" s="224"/>
      <c r="D23" s="224"/>
      <c r="E23" s="225" t="n">
        <v>9000</v>
      </c>
      <c r="F23" s="225"/>
      <c r="I23" s="226" t="s">
        <v>180</v>
      </c>
      <c r="J23" s="226"/>
      <c r="K23" s="227" t="s">
        <v>152</v>
      </c>
    </row>
    <row r="24" s="151" customFormat="true" ht="15" hidden="false" customHeight="false" outlineLevel="0" collapsed="false">
      <c r="I24" s="228" t="s">
        <v>181</v>
      </c>
      <c r="J24" s="229" t="s">
        <v>182</v>
      </c>
      <c r="K24" s="229"/>
    </row>
    <row r="25" s="151" customFormat="true" ht="12.8" hidden="false" customHeight="false" outlineLevel="0" collapsed="false">
      <c r="B25" s="230" t="s">
        <v>183</v>
      </c>
      <c r="C25" s="230"/>
      <c r="D25" s="230"/>
      <c r="E25" s="231" t="s">
        <v>184</v>
      </c>
      <c r="F25" s="231"/>
      <c r="I25" s="232" t="s">
        <v>185</v>
      </c>
      <c r="J25" s="229" t="s">
        <v>186</v>
      </c>
      <c r="K25" s="229"/>
    </row>
    <row r="26" s="151" customFormat="true" ht="13" hidden="false" customHeight="false" outlineLevel="0" collapsed="false">
      <c r="B26" s="233" t="str">
        <f aca="false">IF(E25="Profile-1",Lookup_Lists!C2,IF(E25="Profile-2",Lookup_Lists!C3,IF(E25="Profile-3",Lookup_Lists!C4,)))</f>
        <v>vSphere Distributed Switch = One (1)          /          Physical NICs = Two (2) or  Four (4)
Primary vDS - gbb-m01-cl01-vds01
     -  Traffic for Management, vMotion, vSAN, Host Overlay, Edge Overlay and Uplinks - e.g. vmnic0,vmnic1,vmnic2,vmnic3</v>
      </c>
      <c r="C26" s="233"/>
      <c r="D26" s="233"/>
      <c r="E26" s="233"/>
      <c r="F26" s="233"/>
      <c r="I26" s="232" t="s">
        <v>108</v>
      </c>
      <c r="J26" s="234" t="s">
        <v>187</v>
      </c>
      <c r="K26" s="235" t="s">
        <v>109</v>
      </c>
      <c r="L26" s="236" t="s">
        <v>188</v>
      </c>
    </row>
    <row r="27" s="151" customFormat="true" ht="14" hidden="false" customHeight="false" outlineLevel="0" collapsed="false">
      <c r="B27" s="233"/>
      <c r="C27" s="233"/>
      <c r="D27" s="233"/>
      <c r="E27" s="233"/>
      <c r="F27" s="233"/>
      <c r="I27" s="237" t="s">
        <v>189</v>
      </c>
      <c r="J27" s="238" t="s">
        <v>190</v>
      </c>
      <c r="K27" s="239" t="s">
        <v>191</v>
      </c>
      <c r="L27" s="240" t="s">
        <v>192</v>
      </c>
    </row>
    <row r="28" s="151" customFormat="true" ht="13" hidden="false" customHeight="false" outlineLevel="0" collapsed="false">
      <c r="B28" s="233"/>
      <c r="C28" s="233"/>
      <c r="D28" s="233"/>
      <c r="E28" s="233"/>
      <c r="F28" s="233"/>
    </row>
    <row r="29" s="151" customFormat="true" ht="13" hidden="false" customHeight="false" outlineLevel="0" collapsed="false">
      <c r="B29" s="233"/>
      <c r="C29" s="233"/>
      <c r="D29" s="233"/>
      <c r="E29" s="233"/>
      <c r="F29" s="233"/>
    </row>
    <row r="30" s="151" customFormat="true" ht="13" hidden="false" customHeight="false" outlineLevel="0" collapsed="false">
      <c r="B30" s="233"/>
      <c r="C30" s="233"/>
      <c r="D30" s="233"/>
      <c r="E30" s="233"/>
      <c r="F30" s="233"/>
    </row>
    <row r="31" s="151" customFormat="true" ht="13" hidden="false" customHeight="false" outlineLevel="0" collapsed="false">
      <c r="B31" s="233"/>
      <c r="C31" s="233"/>
      <c r="D31" s="233"/>
      <c r="E31" s="233"/>
      <c r="F31" s="233"/>
      <c r="I31" s="241" t="str">
        <f aca="false">IF(OR(E25="Profile-2",E25="Profile-3"),IF(E21="n/a","Enter a valid input for the 'Secondary vSphere Distributed Switch -Name' Cell",""),IF(E25="Profile-1",IF(E21&lt;&gt;"n/a","Set the 'Secondary vSphere Distributed Switch -Name' value to n/a","")))</f>
        <v/>
      </c>
    </row>
    <row r="32" s="151" customFormat="true" ht="13" hidden="false" customHeight="false" outlineLevel="0" collapsed="false">
      <c r="B32" s="233"/>
      <c r="C32" s="233"/>
      <c r="D32" s="233"/>
      <c r="E32" s="233"/>
      <c r="F32" s="233"/>
    </row>
    <row r="33" s="151" customFormat="true" ht="13" hidden="false" customHeight="false" outlineLevel="0" collapsed="false"/>
    <row r="34" s="151" customFormat="true" ht="13" hidden="false" customHeight="false" outlineLevel="0" collapsed="false"/>
    <row r="35" s="151" customFormat="true" ht="13" hidden="false" customHeight="false" outlineLevel="0" collapsed="false"/>
    <row r="36" s="151" customFormat="true" ht="13" hidden="false" customHeight="false" outlineLevel="0" collapsed="false"/>
    <row r="37" s="151" customFormat="true" ht="13" hidden="false" customHeight="false" outlineLevel="0" collapsed="false"/>
    <row r="38" s="151" customFormat="true" ht="13" hidden="false" customHeight="false" outlineLevel="0" collapsed="false"/>
    <row r="39" s="151" customFormat="true" ht="13" hidden="false" customHeight="false" outlineLevel="0" collapsed="false"/>
    <row r="40" s="151" customFormat="true" ht="13" hidden="false" customHeight="false" outlineLevel="0" collapsed="false"/>
    <row r="41" s="151" customFormat="true" ht="13" hidden="false" customHeight="false" outlineLevel="0" collapsed="false"/>
    <row r="42" s="151" customFormat="true" ht="13" hidden="false" customHeight="false" outlineLevel="0" collapsed="false"/>
    <row r="43" s="151" customFormat="true" ht="13" hidden="false" customHeight="false" outlineLevel="0" collapsed="false"/>
    <row r="44" s="151" customFormat="true" ht="13" hidden="false" customHeight="false" outlineLevel="0" collapsed="false"/>
    <row r="45" s="151" customFormat="true" ht="13" hidden="false" customHeight="false" outlineLevel="0" collapsed="false"/>
    <row r="46" s="151" customFormat="true" ht="13" hidden="false" customHeight="false" outlineLevel="0" collapsed="false"/>
    <row r="47" s="151" customFormat="true" ht="13" hidden="false" customHeight="false" outlineLevel="0" collapsed="false"/>
    <row r="48" s="151" customFormat="true" ht="13" hidden="false" customHeight="false" outlineLevel="0" collapsed="false"/>
    <row r="49" s="151" customFormat="true" ht="13" hidden="false" customHeight="false" outlineLevel="0" collapsed="false"/>
    <row r="50" s="151" customFormat="true" ht="13" hidden="false" customHeight="false" outlineLevel="0" collapsed="false"/>
    <row r="51" s="151" customFormat="true" ht="13" hidden="false" customHeight="false" outlineLevel="0" collapsed="false"/>
    <row r="52" s="151" customFormat="true" ht="13" hidden="false" customHeight="false" outlineLevel="0" collapsed="false"/>
    <row r="53" s="151" customFormat="true" ht="13" hidden="false" customHeight="false" outlineLevel="0" collapsed="false"/>
    <row r="54" s="151" customFormat="true" ht="13" hidden="false" customHeight="false" outlineLevel="0" collapsed="false"/>
    <row r="55" s="151" customFormat="true" ht="13" hidden="false" customHeight="false" outlineLevel="0" collapsed="false"/>
    <row r="56" s="151" customFormat="true" ht="13" hidden="false" customHeight="false" outlineLevel="0" collapsed="false"/>
    <row r="57" s="151" customFormat="true" ht="13" hidden="false" customHeight="false" outlineLevel="0" collapsed="false"/>
    <row r="58" s="151" customFormat="true" ht="13" hidden="false" customHeight="false" outlineLevel="0" collapsed="false"/>
    <row r="59" s="151" customFormat="true" ht="13" hidden="false" customHeight="false" outlineLevel="0" collapsed="false"/>
    <row r="60" s="151" customFormat="true" ht="13" hidden="false" customHeight="false" outlineLevel="0" collapsed="false"/>
    <row r="61" s="151" customFormat="true" ht="13" hidden="false" customHeight="false" outlineLevel="0" collapsed="false"/>
    <row r="62" s="151" customFormat="true" ht="13" hidden="false" customHeight="false" outlineLevel="0" collapsed="false"/>
    <row r="63" s="151" customFormat="true" ht="13" hidden="false" customHeight="false" outlineLevel="0" collapsed="false"/>
    <row r="64" s="151" customFormat="true" ht="13" hidden="false" customHeight="false" outlineLevel="0" collapsed="false"/>
    <row r="65" s="151" customFormat="true" ht="13" hidden="false" customHeight="false" outlineLevel="0" collapsed="false"/>
    <row r="66" s="151" customFormat="true" ht="13" hidden="false" customHeight="false" outlineLevel="0" collapsed="false"/>
    <row r="67" s="151" customFormat="true" ht="13" hidden="false" customHeight="false" outlineLevel="0" collapsed="false"/>
    <row r="68" s="151" customFormat="true" ht="13" hidden="false" customHeight="false" outlineLevel="0" collapsed="false"/>
    <row r="69" s="151" customFormat="true" ht="13" hidden="false" customHeight="false" outlineLevel="0" collapsed="false"/>
    <row r="70" s="151" customFormat="true" ht="13" hidden="false" customHeight="false" outlineLevel="0" collapsed="false"/>
    <row r="71" s="151" customFormat="true" ht="13" hidden="false" customHeight="false" outlineLevel="0" collapsed="false"/>
    <row r="72" s="151" customFormat="true" ht="13" hidden="false" customHeight="false" outlineLevel="0" collapsed="false"/>
    <row r="73" s="151" customFormat="true" ht="13" hidden="false" customHeight="false" outlineLevel="0" collapsed="false"/>
    <row r="74" s="151" customFormat="true" ht="13" hidden="false" customHeight="false" outlineLevel="0" collapsed="false"/>
    <row r="75" s="151" customFormat="true" ht="13" hidden="false" customHeight="false" outlineLevel="0" collapsed="false"/>
    <row r="76" s="151" customFormat="true" ht="13" hidden="false" customHeight="false" outlineLevel="0" collapsed="false"/>
    <row r="77" s="151" customFormat="true" ht="13" hidden="false" customHeight="false" outlineLevel="0" collapsed="false"/>
    <row r="78" s="151" customFormat="true" ht="13" hidden="false" customHeight="false" outlineLevel="0" collapsed="false"/>
    <row r="79" s="151" customFormat="true" ht="13" hidden="false" customHeight="false" outlineLevel="0" collapsed="false"/>
    <row r="80" s="151" customFormat="true" ht="13" hidden="false" customHeight="false" outlineLevel="0" collapsed="false"/>
    <row r="81" s="151" customFormat="true" ht="13" hidden="false" customHeight="false" outlineLevel="0" collapsed="false"/>
    <row r="82" s="151" customFormat="true" ht="13" hidden="false" customHeight="false" outlineLevel="0" collapsed="false"/>
    <row r="83" s="151" customFormat="true" ht="13" hidden="false" customHeight="false" outlineLevel="0" collapsed="false"/>
    <row r="84" s="151" customFormat="true" ht="13" hidden="false" customHeight="false" outlineLevel="0" collapsed="false"/>
    <row r="85" s="151" customFormat="true" ht="13" hidden="false" customHeight="false" outlineLevel="0" collapsed="false"/>
    <row r="86" s="151" customFormat="true" ht="13" hidden="false" customHeight="false" outlineLevel="0" collapsed="false"/>
    <row r="87" s="151" customFormat="true" ht="13" hidden="false" customHeight="false" outlineLevel="0" collapsed="false"/>
    <row r="88" s="151" customFormat="true" ht="13" hidden="false" customHeight="false" outlineLevel="0" collapsed="false"/>
    <row r="89" s="151" customFormat="true" ht="13" hidden="false" customHeight="false" outlineLevel="0" collapsed="false"/>
    <row r="90" s="151" customFormat="true" ht="13" hidden="false" customHeight="false" outlineLevel="0" collapsed="false"/>
    <row r="91" s="151" customFormat="true" ht="13" hidden="false" customHeight="false" outlineLevel="0" collapsed="false"/>
    <row r="92" s="151" customFormat="true" ht="13" hidden="false" customHeight="false" outlineLevel="0" collapsed="false"/>
    <row r="93" s="151" customFormat="true" ht="13" hidden="false" customHeight="false" outlineLevel="0" collapsed="false"/>
    <row r="94" s="151" customFormat="true" ht="13" hidden="false" customHeight="false" outlineLevel="0" collapsed="false"/>
    <row r="95" s="151" customFormat="true" ht="13" hidden="false" customHeight="false" outlineLevel="0" collapsed="false"/>
    <row r="96" s="151" customFormat="true" ht="13" hidden="false" customHeight="false" outlineLevel="0" collapsed="false"/>
    <row r="97" s="151" customFormat="true" ht="13" hidden="false" customHeight="false" outlineLevel="0" collapsed="false"/>
    <row r="98" s="151" customFormat="true" ht="13" hidden="false" customHeight="false" outlineLevel="0" collapsed="false"/>
    <row r="99" s="151" customFormat="true" ht="13" hidden="false" customHeight="false" outlineLevel="0" collapsed="false"/>
    <row r="100" s="151" customFormat="true" ht="13" hidden="false" customHeight="false" outlineLevel="0" collapsed="false"/>
    <row r="101" s="151" customFormat="true" ht="13" hidden="false" customHeight="false" outlineLevel="0" collapsed="false"/>
    <row r="102" s="151" customFormat="true" ht="13" hidden="false" customHeight="false" outlineLevel="0" collapsed="false"/>
    <row r="103" s="151" customFormat="true" ht="13" hidden="false" customHeight="false" outlineLevel="0" collapsed="false"/>
    <row r="104" s="151" customFormat="true" ht="13" hidden="false" customHeight="false" outlineLevel="0" collapsed="false"/>
    <row r="105" s="151" customFormat="true" ht="13" hidden="false" customHeight="false" outlineLevel="0" collapsed="false"/>
    <row r="106" s="151" customFormat="true" ht="13" hidden="false" customHeight="false" outlineLevel="0" collapsed="false"/>
    <row r="107" s="151" customFormat="true" ht="13" hidden="false" customHeight="false" outlineLevel="0" collapsed="false"/>
    <row r="108" s="151" customFormat="true" ht="13" hidden="false" customHeight="false" outlineLevel="0" collapsed="false"/>
    <row r="109" s="151" customFormat="true" ht="13" hidden="false" customHeight="false" outlineLevel="0" collapsed="false"/>
    <row r="110" s="151" customFormat="true" ht="13" hidden="false" customHeight="false" outlineLevel="0" collapsed="false"/>
    <row r="111" s="151" customFormat="true" ht="13" hidden="false" customHeight="false" outlineLevel="0" collapsed="false"/>
    <row r="112" s="151" customFormat="true" ht="13" hidden="false" customHeight="false" outlineLevel="0" collapsed="false"/>
    <row r="113" s="151" customFormat="true" ht="13" hidden="false" customHeight="false" outlineLevel="0" collapsed="false"/>
    <row r="114" s="151" customFormat="true" ht="13" hidden="false" customHeight="false" outlineLevel="0" collapsed="false"/>
    <row r="115" s="151" customFormat="true" ht="13" hidden="false" customHeight="false" outlineLevel="0" collapsed="false"/>
    <row r="116" s="151" customFormat="true" ht="13" hidden="false" customHeight="false" outlineLevel="0" collapsed="false"/>
    <row r="117" s="151" customFormat="true" ht="13" hidden="false" customHeight="false" outlineLevel="0" collapsed="false"/>
    <row r="118" s="151" customFormat="true" ht="13" hidden="false" customHeight="false" outlineLevel="0" collapsed="false"/>
    <row r="119" s="151" customFormat="true" ht="13" hidden="false" customHeight="false" outlineLevel="0" collapsed="false"/>
    <row r="120" s="151" customFormat="true" ht="13" hidden="false" customHeight="false" outlineLevel="0" collapsed="false"/>
    <row r="121" s="151" customFormat="true" ht="13" hidden="false" customHeight="false" outlineLevel="0" collapsed="false"/>
    <row r="122" s="151" customFormat="true" ht="13" hidden="false" customHeight="false" outlineLevel="0" collapsed="false"/>
    <row r="123" s="151" customFormat="true" ht="13" hidden="false" customHeight="false" outlineLevel="0" collapsed="false"/>
    <row r="124" s="151" customFormat="true" ht="13" hidden="false" customHeight="false" outlineLevel="0" collapsed="false"/>
    <row r="125" s="151" customFormat="true" ht="13" hidden="false" customHeight="false" outlineLevel="0" collapsed="false"/>
    <row r="126" s="151" customFormat="true" ht="13" hidden="false" customHeight="false" outlineLevel="0" collapsed="false"/>
    <row r="127" s="151" customFormat="true" ht="13" hidden="false" customHeight="false" outlineLevel="0" collapsed="false"/>
    <row r="128" s="151" customFormat="true" ht="13" hidden="false" customHeight="false" outlineLevel="0" collapsed="false"/>
    <row r="129" s="151" customFormat="true" ht="13" hidden="false" customHeight="false" outlineLevel="0" collapsed="false"/>
    <row r="130" s="151" customFormat="true" ht="13" hidden="false" customHeight="false" outlineLevel="0" collapsed="false"/>
    <row r="131" s="151" customFormat="true" ht="13" hidden="false" customHeight="false" outlineLevel="0" collapsed="false"/>
    <row r="132" s="151" customFormat="true" ht="13" hidden="false" customHeight="false" outlineLevel="0" collapsed="false"/>
    <row r="133" s="151" customFormat="true" ht="13" hidden="false" customHeight="false" outlineLevel="0" collapsed="false"/>
    <row r="134" s="151" customFormat="true" ht="13" hidden="false" customHeight="false" outlineLevel="0" collapsed="false"/>
    <row r="135" s="151" customFormat="true" ht="13" hidden="false" customHeight="false" outlineLevel="0" collapsed="false"/>
    <row r="136" s="151" customFormat="true" ht="13" hidden="false" customHeight="false" outlineLevel="0" collapsed="false"/>
    <row r="137" s="151" customFormat="true" ht="13" hidden="false" customHeight="false" outlineLevel="0" collapsed="false"/>
    <row r="138" s="151" customFormat="true" ht="13" hidden="false" customHeight="false" outlineLevel="0" collapsed="false"/>
    <row r="139" s="151" customFormat="true" ht="13" hidden="false" customHeight="false" outlineLevel="0" collapsed="false"/>
    <row r="140" s="151" customFormat="true" ht="13" hidden="false" customHeight="false" outlineLevel="0" collapsed="false"/>
    <row r="141" s="151" customFormat="true" ht="13" hidden="false" customHeight="false" outlineLevel="0" collapsed="false"/>
    <row r="142" s="151" customFormat="true" ht="13" hidden="false" customHeight="false" outlineLevel="0" collapsed="false"/>
    <row r="143" s="151" customFormat="true" ht="13" hidden="false" customHeight="false" outlineLevel="0" collapsed="false"/>
    <row r="144" s="151" customFormat="true" ht="13" hidden="false" customHeight="false" outlineLevel="0" collapsed="false"/>
    <row r="145" s="151" customFormat="true" ht="13" hidden="false" customHeight="false" outlineLevel="0" collapsed="false"/>
    <row r="146" s="151" customFormat="true" ht="13" hidden="false" customHeight="false" outlineLevel="0" collapsed="false"/>
    <row r="147" s="151" customFormat="true" ht="13" hidden="false" customHeight="false" outlineLevel="0" collapsed="false"/>
    <row r="148" s="151" customFormat="true" ht="13" hidden="false" customHeight="false" outlineLevel="0" collapsed="false"/>
    <row r="149" s="151" customFormat="true" ht="13" hidden="false" customHeight="false" outlineLevel="0" collapsed="false"/>
    <row r="150" s="151" customFormat="true" ht="13" hidden="false" customHeight="false" outlineLevel="0" collapsed="false"/>
    <row r="151" s="151" customFormat="true" ht="13" hidden="false" customHeight="false" outlineLevel="0" collapsed="false"/>
    <row r="152" s="151" customFormat="true" ht="13" hidden="false" customHeight="false" outlineLevel="0" collapsed="false"/>
    <row r="153" s="151" customFormat="true" ht="13" hidden="false" customHeight="false" outlineLevel="0" collapsed="false"/>
    <row r="154" s="151" customFormat="true" ht="13" hidden="false" customHeight="false" outlineLevel="0" collapsed="false"/>
    <row r="155" s="151" customFormat="true" ht="13" hidden="false" customHeight="false" outlineLevel="0" collapsed="false"/>
    <row r="156" s="151" customFormat="true" ht="13" hidden="false" customHeight="false" outlineLevel="0" collapsed="false"/>
  </sheetData>
  <sheetProtection sheet="true" objects="true" scenarios="true"/>
  <mergeCells count="41">
    <mergeCell ref="B3:L3"/>
    <mergeCell ref="B5:G5"/>
    <mergeCell ref="I5:L5"/>
    <mergeCell ref="J12:K12"/>
    <mergeCell ref="L12:M12"/>
    <mergeCell ref="J13:K13"/>
    <mergeCell ref="L13:M13"/>
    <mergeCell ref="B14:D14"/>
    <mergeCell ref="E14:F14"/>
    <mergeCell ref="J14:K14"/>
    <mergeCell ref="L14:M14"/>
    <mergeCell ref="B15:D15"/>
    <mergeCell ref="E15:F15"/>
    <mergeCell ref="J15:K15"/>
    <mergeCell ref="L15:M15"/>
    <mergeCell ref="B16:D16"/>
    <mergeCell ref="E16:F16"/>
    <mergeCell ref="J16:K16"/>
    <mergeCell ref="L16:M16"/>
    <mergeCell ref="B17:D17"/>
    <mergeCell ref="E17:F17"/>
    <mergeCell ref="J17:K17"/>
    <mergeCell ref="L17:M17"/>
    <mergeCell ref="B18:D18"/>
    <mergeCell ref="E18:F18"/>
    <mergeCell ref="B19:D19"/>
    <mergeCell ref="E19:F19"/>
    <mergeCell ref="I19:L19"/>
    <mergeCell ref="B20:D20"/>
    <mergeCell ref="E20:F20"/>
    <mergeCell ref="B21:D21"/>
    <mergeCell ref="E21:F21"/>
    <mergeCell ref="B22:D22"/>
    <mergeCell ref="E22:F22"/>
    <mergeCell ref="B23:D23"/>
    <mergeCell ref="E23:F23"/>
    <mergeCell ref="I23:J23"/>
    <mergeCell ref="J24:K24"/>
    <mergeCell ref="E25:F25"/>
    <mergeCell ref="J25:K25"/>
    <mergeCell ref="B26:F32"/>
  </mergeCells>
  <conditionalFormatting sqref="C7:D7">
    <cfRule type="containsText" priority="2" operator="containsText" aboveAverage="0" equalAverage="0" bottom="0" percent="0" rank="0" text="n/a" dxfId="15">
      <formula>NOT(ISERROR(SEARCH("n/a",C7)))</formula>
    </cfRule>
    <cfRule type="expression" priority="3" aboveAverage="0" equalAverage="0" bottom="0" percent="0" rank="0" text="" dxfId="16">
      <formula>LEN(TRIM(C7))=0</formula>
    </cfRule>
  </conditionalFormatting>
  <conditionalFormatting sqref="D8:D9">
    <cfRule type="containsText" priority="4" operator="containsText" aboveAverage="0" equalAverage="0" bottom="0" percent="0" rank="0" text="n/a" dxfId="17">
      <formula>NOT(ISERROR(SEARCH("n/a",D8)))</formula>
    </cfRule>
    <cfRule type="expression" priority="5" aboveAverage="0" equalAverage="0" bottom="0" percent="0" rank="0" text="" dxfId="18">
      <formula>LEN(TRIM(D8))=0</formula>
    </cfRule>
  </conditionalFormatting>
  <conditionalFormatting sqref="E8:F8 G8:G9 L9 J9 C8:C9 C10:G11 J14:M17">
    <cfRule type="expression" priority="6" aboveAverage="0" equalAverage="0" bottom="0" percent="0" rank="0" text="" dxfId="19">
      <formula>LEN(TRIM(C8))=0</formula>
    </cfRule>
  </conditionalFormatting>
  <conditionalFormatting sqref="E7:G7 F8:F9">
    <cfRule type="containsText" priority="7" operator="containsText" aboveAverage="0" equalAverage="0" bottom="0" percent="0" rank="0" text="n/a" dxfId="20">
      <formula>NOT(ISERROR(SEARCH("n/a",E7)))</formula>
    </cfRule>
    <cfRule type="expression" priority="8" aboveAverage="0" equalAverage="0" bottom="0" percent="0" rank="0" text="" dxfId="21">
      <formula>LEN(TRIM(E7))=0</formula>
    </cfRule>
  </conditionalFormatting>
  <conditionalFormatting sqref="I6">
    <cfRule type="expression" priority="9" aboveAverage="0" equalAverage="0" bottom="0" percent="0" rank="0" text="" dxfId="22">
      <formula>IF(I6&lt;&gt;"n/a",COUNTIF($I$6:$P$6,I6)&gt;1)</formula>
    </cfRule>
  </conditionalFormatting>
  <conditionalFormatting sqref="J6">
    <cfRule type="expression" priority="10" aboveAverage="0" equalAverage="0" bottom="0" percent="0" rank="0" text="" dxfId="23">
      <formula>IF(J6&lt;&gt;"n/a",COUNTIF($I$6:$P$6,J6)&gt;1)</formula>
    </cfRule>
  </conditionalFormatting>
  <conditionalFormatting sqref="K6">
    <cfRule type="expression" priority="11" aboveAverage="0" equalAverage="0" bottom="0" percent="0" rank="0" text="" dxfId="24">
      <formula>IF(K6&lt;&gt;"n/a",COUNTIF($I$6:$P$6,K6)&gt;1)</formula>
    </cfRule>
  </conditionalFormatting>
  <conditionalFormatting sqref="L6">
    <cfRule type="expression" priority="12" aboveAverage="0" equalAverage="0" bottom="0" percent="0" rank="0" text="" dxfId="25">
      <formula>IF(L6&lt;&gt;"n/a",COUNTIF($I$6:$P$6,L6)&gt;1)</formula>
    </cfRule>
  </conditionalFormatting>
  <conditionalFormatting sqref="I7">
    <cfRule type="expression" priority="13" aboveAverage="0" equalAverage="0" bottom="0" percent="0" rank="0" text="" dxfId="26">
      <formula>IF(I7&lt;&gt;"n/a",COUNTIF($I$7:$P$7,I7)&gt;1)</formula>
    </cfRule>
    <cfRule type="expression" priority="14" aboveAverage="0" equalAverage="0" bottom="0" percent="0" rank="0" text="" dxfId="27">
      <formula>IF(LEN(I7)-LEN(SUBSTITUTE(I7,".",""))=3,0,1)</formula>
    </cfRule>
  </conditionalFormatting>
  <conditionalFormatting sqref="J7">
    <cfRule type="expression" priority="15" aboveAverage="0" equalAverage="0" bottom="0" percent="0" rank="0" text="" dxfId="28">
      <formula>IF(J7&lt;&gt;"n/a",COUNTIF($I$7:$P$7,J7)&gt;1)</formula>
    </cfRule>
    <cfRule type="expression" priority="16" aboveAverage="0" equalAverage="0" bottom="0" percent="0" rank="0" text="" dxfId="29">
      <formula>IF(LEN(J7)-LEN(SUBSTITUTE(J7,".",""))=3,0,1)</formula>
    </cfRule>
  </conditionalFormatting>
  <conditionalFormatting sqref="K7">
    <cfRule type="expression" priority="17" aboveAverage="0" equalAverage="0" bottom="0" percent="0" rank="0" text="" dxfId="30">
      <formula>IF(K7&lt;&gt;"n/a",COUNTIF($I$7:$P$7,K7)&gt;1)</formula>
    </cfRule>
    <cfRule type="expression" priority="18" aboveAverage="0" equalAverage="0" bottom="0" percent="0" rank="0" text="" dxfId="31">
      <formula>IF(LEN(K7)-LEN(SUBSTITUTE(K7,".",""))=3,0,1)</formula>
    </cfRule>
  </conditionalFormatting>
  <conditionalFormatting sqref="L7">
    <cfRule type="expression" priority="19" aboveAverage="0" equalAverage="0" bottom="0" percent="0" rank="0" text="" dxfId="32">
      <formula>IF(L7&lt;&gt;"n/a",COUNTIF($I$7:$P$7,L7)&gt;1)</formula>
    </cfRule>
    <cfRule type="expression" priority="20" aboveAverage="0" equalAverage="0" bottom="0" percent="0" rank="0" text="" dxfId="33">
      <formula>IF(LEN(L7)-LEN(SUBSTITUTE(L7,".",""))=3,0,1)</formula>
    </cfRule>
  </conditionalFormatting>
  <conditionalFormatting sqref="F8">
    <cfRule type="expression" priority="21" aboveAverage="0" equalAverage="0" bottom="0" percent="0" rank="0" text="" dxfId="34">
      <formula>IF(LEN(F8)-LEN(SUBSTITUTE(F8,".",""))=3,0,1)</formula>
    </cfRule>
  </conditionalFormatting>
  <conditionalFormatting sqref="F9">
    <cfRule type="expression" priority="22" aboveAverage="0" equalAverage="0" bottom="0" percent="0" rank="0" text="" dxfId="35">
      <formula>IF(LEN(F9)-LEN(SUBSTITUTE(F9,".",""))=3,0,1)</formula>
    </cfRule>
  </conditionalFormatting>
  <conditionalFormatting sqref="J8">
    <cfRule type="expression" priority="23" aboveAverage="0" equalAverage="0" bottom="0" percent="0" rank="0" text="" dxfId="36">
      <formula>LEN(TRIM(J8))=0</formula>
    </cfRule>
    <cfRule type="containsText" priority="24" operator="containsText" aboveAverage="0" equalAverage="0" bottom="0" percent="0" rank="0" text="n/a" dxfId="37">
      <formula>NOT(ISERROR(SEARCH("n/a",J8)))</formula>
    </cfRule>
    <cfRule type="expression" priority="25" aboveAverage="0" equalAverage="0" bottom="0" percent="0" rank="0" text="" dxfId="38">
      <formula>IF(LEN(J8)-LEN(SUBSTITUTE(J8,".",""))=3,0,1)</formula>
    </cfRule>
  </conditionalFormatting>
  <conditionalFormatting sqref="J9">
    <cfRule type="containsText" priority="26" operator="containsText" aboveAverage="0" equalAverage="0" bottom="0" percent="0" rank="0" text="n/a" dxfId="39">
      <formula>NOT(ISERROR(SEARCH("n/a",J9)))</formula>
    </cfRule>
    <cfRule type="expression" priority="27" aboveAverage="0" equalAverage="0" bottom="0" percent="0" rank="0" text="" dxfId="40">
      <formula>IF(LEN(J9)-LEN(SUBSTITUTE(J9,".",""))=3,0,1)</formula>
    </cfRule>
  </conditionalFormatting>
  <conditionalFormatting sqref="L8">
    <cfRule type="containsText" priority="28" operator="containsText" aboveAverage="0" equalAverage="0" bottom="0" percent="0" rank="0" text="n/a" dxfId="41">
      <formula>NOT(ISERROR(SEARCH("n/a",L8)))</formula>
    </cfRule>
    <cfRule type="expression" priority="29" aboveAverage="0" equalAverage="0" bottom="0" percent="0" rank="0" text="" dxfId="42">
      <formula>LEN(TRIM(L8))=0</formula>
    </cfRule>
    <cfRule type="expression" priority="30" aboveAverage="0" equalAverage="0" bottom="0" percent="0" rank="0" text="" dxfId="43">
      <formula>IF(LEN(L8)-LEN(SUBSTITUTE(L8,".",""))=3,0,1)</formula>
    </cfRule>
  </conditionalFormatting>
  <conditionalFormatting sqref="L9">
    <cfRule type="containsText" priority="31" operator="containsText" aboveAverage="0" equalAverage="0" bottom="0" percent="0" rank="0" text="n/a" dxfId="44">
      <formula>NOT(ISERROR(SEARCH("n/a",L9)))</formula>
    </cfRule>
    <cfRule type="expression" priority="32" aboveAverage="0" equalAverage="0" bottom="0" percent="0" rank="0" text="" dxfId="45">
      <formula>IF(LEN(L9)-LEN(SUBSTITUTE(L9,".",""))=3,0,1)</formula>
    </cfRule>
  </conditionalFormatting>
  <conditionalFormatting sqref="G7 G10:G11">
    <cfRule type="cellIs" priority="33" operator="lessThan" aboveAverage="0" equalAverage="0" bottom="0" percent="0" rank="0" text="" dxfId="46">
      <formula>1500</formula>
    </cfRule>
  </conditionalFormatting>
  <conditionalFormatting sqref="G8">
    <cfRule type="cellIs" priority="34" operator="lessThan" aboveAverage="0" equalAverage="0" bottom="0" percent="0" rank="0" text="" dxfId="47">
      <formula>1500</formula>
    </cfRule>
  </conditionalFormatting>
  <conditionalFormatting sqref="G9">
    <cfRule type="cellIs" priority="35" operator="lessThan" aboveAverage="0" equalAverage="0" bottom="0" percent="0" rank="0" text="" dxfId="48">
      <formula>1500</formula>
    </cfRule>
  </conditionalFormatting>
  <conditionalFormatting sqref="C10:G11">
    <cfRule type="containsText" priority="36" operator="containsText" aboveAverage="0" equalAverage="0" bottom="0" percent="0" rank="0" text="n/a" dxfId="49">
      <formula>NOT(ISERROR(SEARCH("n/a",C10)))</formula>
    </cfRule>
  </conditionalFormatting>
  <conditionalFormatting sqref="C10:C11">
    <cfRule type="cellIs" priority="37" operator="greaterThan" aboveAverage="0" equalAverage="0" bottom="0" percent="0" rank="0" text="" dxfId="50">
      <formula>4096</formula>
    </cfRule>
  </conditionalFormatting>
  <conditionalFormatting sqref="F10">
    <cfRule type="expression" priority="38" aboveAverage="0" equalAverage="0" bottom="0" percent="0" rank="0" text="" dxfId="51">
      <formula>IF(LEN(F10)-LEN(SUBSTITUTE(F10,".",""))=3,0,1)</formula>
    </cfRule>
  </conditionalFormatting>
  <conditionalFormatting sqref="F11">
    <cfRule type="expression" priority="39" aboveAverage="0" equalAverage="0" bottom="0" percent="0" rank="0" text="" dxfId="52">
      <formula>IF(LEN(F11)-LEN(SUBSTITUTE(F11,".",""))=3,0,1)</formula>
    </cfRule>
  </conditionalFormatting>
  <conditionalFormatting sqref="I12:M12 I14:M17">
    <cfRule type="expression" priority="40" aboveAverage="0" equalAverage="0" bottom="0" percent="0" rank="0" text="" dxfId="53">
      <formula>$K$11="No"</formula>
    </cfRule>
  </conditionalFormatting>
  <conditionalFormatting sqref="G24">
    <cfRule type="expression" priority="41" aboveAverage="0" equalAverage="0" bottom="0" percent="0" rank="0" text="" dxfId="54">
      <formula>IF(ISNUMBER(FIND(".",G24)),IF((FIND(".",G24)-1)&gt;15,0,0),IF((LEN(G24))&gt;15,0,0))</formula>
    </cfRule>
  </conditionalFormatting>
  <conditionalFormatting sqref="C12">
    <cfRule type="expression" priority="42" aboveAverage="0" equalAverage="0" bottom="0" percent="0" rank="0" text="" dxfId="55">
      <formula>LEN(TRIM(C12))=0</formula>
    </cfRule>
  </conditionalFormatting>
  <conditionalFormatting sqref="C12">
    <cfRule type="containsText" priority="43" operator="containsText" aboveAverage="0" equalAverage="0" bottom="0" percent="0" rank="0" text="n/a" dxfId="56">
      <formula>NOT(ISERROR(SEARCH("n/a",C12)))</formula>
    </cfRule>
  </conditionalFormatting>
  <conditionalFormatting sqref="C12">
    <cfRule type="cellIs" priority="44" operator="greaterThan" aboveAverage="0" equalAverage="0" bottom="0" percent="0" rank="0" text="" dxfId="57">
      <formula>4096</formula>
    </cfRule>
  </conditionalFormatting>
  <conditionalFormatting sqref="G12">
    <cfRule type="cellIs" priority="45" operator="lessThan" aboveAverage="0" equalAverage="0" bottom="0" percent="0" rank="0" text="" dxfId="58">
      <formula>1500</formula>
    </cfRule>
  </conditionalFormatting>
  <conditionalFormatting sqref="F12">
    <cfRule type="expression" priority="46" aboveAverage="0" equalAverage="0" bottom="0" percent="0" rank="0" text="" dxfId="59">
      <formula>IF(LEN(F12)-LEN(SUBSTITUTE(F12,".",""))=3,0,1)</formula>
    </cfRule>
  </conditionalFormatting>
  <conditionalFormatting sqref="E17:F17">
    <cfRule type="containsText" priority="47" operator="containsText" aboveAverage="0" equalAverage="0" bottom="0" percent="0" rank="0" text="n/a" dxfId="60">
      <formula>NOT(ISERROR(SEARCH("n/a",E17)))</formula>
    </cfRule>
    <cfRule type="expression" priority="48" aboveAverage="0" equalAverage="0" bottom="0" percent="0" rank="0" text="" dxfId="61">
      <formula>LEN(TRIM(E17))=0</formula>
    </cfRule>
  </conditionalFormatting>
  <conditionalFormatting sqref="E15:F15">
    <cfRule type="containsText" priority="49" operator="containsText" aboveAverage="0" equalAverage="0" bottom="0" percent="0" rank="0" text="n/a" dxfId="62">
      <formula>NOT(ISERROR(SEARCH("n/a",E15)))</formula>
    </cfRule>
    <cfRule type="expression" priority="50" aboveAverage="0" equalAverage="0" bottom="0" percent="0" rank="0" text="" dxfId="63">
      <formula>LEN(TRIM(E15))=0</formula>
    </cfRule>
  </conditionalFormatting>
  <conditionalFormatting sqref="E19:F19">
    <cfRule type="containsText" priority="51" operator="containsText" aboveAverage="0" equalAverage="0" bottom="0" percent="0" rank="0" text="n/a" dxfId="64">
      <formula>NOT(ISERROR(SEARCH("n/a",E19)))</formula>
    </cfRule>
    <cfRule type="expression" priority="52" aboveAverage="0" equalAverage="0" bottom="0" percent="0" rank="0" text="" dxfId="65">
      <formula>LEN(TRIM(E19))=0</formula>
    </cfRule>
  </conditionalFormatting>
  <conditionalFormatting sqref="E23:F23">
    <cfRule type="expression" priority="53" aboveAverage="0" equalAverage="0" bottom="0" percent="0" rank="0" text="" dxfId="66">
      <formula>LEN(TRIM(E23))=0</formula>
    </cfRule>
  </conditionalFormatting>
  <conditionalFormatting sqref="E21:F21 E17:F17">
    <cfRule type="duplicateValues" priority="54" aboveAverage="0" equalAverage="0" bottom="0" percent="0" rank="0" text="" dxfId="67"/>
  </conditionalFormatting>
  <conditionalFormatting sqref="F7">
    <cfRule type="expression" priority="55" aboveAverage="0" equalAverage="0" bottom="0" percent="0" rank="0" text="" dxfId="68">
      <formula>IF(LEN(F7)-LEN(SUBSTITUTE(F7,".",""))=3,0,1)</formula>
    </cfRule>
    <cfRule type="expression" priority="56" aboveAverage="0" equalAverage="0" bottom="0" percent="0" rank="0" text="" dxfId="69">
      <formula>#ref!="TRUE"</formula>
    </cfRule>
  </conditionalFormatting>
  <conditionalFormatting sqref="E18:F18">
    <cfRule type="containsText" priority="57" operator="containsText" aboveAverage="0" equalAverage="0" bottom="0" percent="0" rank="0" text="n/a" dxfId="70">
      <formula>NOT(ISERROR(SEARCH("n/a",E18)))</formula>
    </cfRule>
    <cfRule type="expression" priority="58" aboveAverage="0" equalAverage="0" bottom="0" percent="0" rank="0" text="" dxfId="71">
      <formula>LEN(TRIM(E18))=0</formula>
    </cfRule>
  </conditionalFormatting>
  <conditionalFormatting sqref="E23:F23 E22 B22:B23">
    <cfRule type="expression" priority="59" aboveAverage="0" equalAverage="0" bottom="0" percent="0" rank="0" text="" dxfId="72">
      <formula>$E$21="n/a"</formula>
    </cfRule>
  </conditionalFormatting>
  <conditionalFormatting sqref="E25:F25">
    <cfRule type="expression" priority="60" aboveAverage="0" equalAverage="0" bottom="0" percent="0" rank="0" text="" dxfId="73">
      <formula>IF($E$25="Profile-3",AND($E$21="n/a"))</formula>
    </cfRule>
    <cfRule type="expression" priority="61" aboveAverage="0" equalAverage="0" bottom="0" percent="0" rank="0" text="" dxfId="74">
      <formula>IF($E$25="Profile-2",AND($E$21="n/a"))</formula>
    </cfRule>
    <cfRule type="expression" priority="62" aboveAverage="0" equalAverage="0" bottom="0" percent="0" rank="0" text="" dxfId="75">
      <formula>IF($E$25="Profile-1",AND($E$21&lt;&gt;"n/a"))</formula>
    </cfRule>
  </conditionalFormatting>
  <conditionalFormatting sqref="E21:F21">
    <cfRule type="expression" priority="63" aboveAverage="0" equalAverage="0" bottom="0" percent="0" rank="0" text="" dxfId="76">
      <formula>IF($E$25="Profile-3",AND($E$21="n/a"))</formula>
    </cfRule>
    <cfRule type="expression" priority="64" aboveAverage="0" equalAverage="0" bottom="0" percent="0" rank="0" text="" dxfId="77">
      <formula>IF($E$25="Profile-2",AND($E$21="n/a"))</formula>
    </cfRule>
    <cfRule type="expression" priority="65" aboveAverage="0" equalAverage="0" bottom="0" percent="0" rank="0" text="" dxfId="78">
      <formula>LEN(TRIM(E21))=0</formula>
    </cfRule>
  </conditionalFormatting>
  <conditionalFormatting sqref="J13:M13">
    <cfRule type="expression" priority="66" aboveAverage="0" equalAverage="0" bottom="0" percent="0" rank="0" text="" dxfId="79">
      <formula>LEN(TRIM(J13))=0</formula>
    </cfRule>
  </conditionalFormatting>
  <conditionalFormatting sqref="I13:M13">
    <cfRule type="expression" priority="67" aboveAverage="0" equalAverage="0" bottom="0" percent="0" rank="0" text="" dxfId="80">
      <formula>$K$11="No"</formula>
    </cfRule>
  </conditionalFormatting>
  <conditionalFormatting sqref="C10:C12">
    <cfRule type="duplicateValues" priority="68" aboveAverage="0" equalAverage="0" bottom="0" percent="0" rank="0" text="" dxfId="81"/>
  </conditionalFormatting>
  <conditionalFormatting sqref="I24:K25 I26:L27">
    <cfRule type="expression" priority="69" aboveAverage="0" equalAverage="0" bottom="0" percent="0" rank="0" text="" dxfId="82">
      <formula>$K$23="No"</formula>
    </cfRule>
  </conditionalFormatting>
  <dataValidations count="9">
    <dataValidation allowBlank="true" error="Please enter a valid IP Address" errorTitle="Invalid IP Address" operator="between" showDropDown="false" showErrorMessage="true" showInputMessage="true" sqref="F7:F8 I7 K7:L7 F9:F11" type="custom">
      <formula1>IF(ISNUMBER(VALUE(SUBSTITUTE(I7,".",""))),AND(--LEFT(I7,FIND(".",I7)-1)&lt;256,--MID(SUBSTITUTE(I7,".",REPT(" ",99)),99,99)&lt;256,--MID(SUBSTITUTE(I7,".",REPT(" ",99)),198,99)&lt;256,--RIGHT(SUBSTITUTE(I7,".",REPT(" ",99)),99)&lt;256),I7="n/a")</formula1>
      <formula2>0</formula2>
    </dataValidation>
    <dataValidation allowBlank="true" error="Please enter a valid IP Address" errorTitle="Invalid IP Address " operator="between" showDropDown="false" showErrorMessage="true" showInputMessage="true" sqref="J7" type="custom">
      <formula1>IF(ISNUMBER(VALUE(SUBSTITUTE(J7,".",""))),AND(--LEFT(J7,FIND(".",J7)-1)&lt;256,--MID(SUBSTITUTE(J7,".",REPT(" ",99)),99,99)&lt;256,--MID(SUBSTITUTE(J7,".",REPT(" ",99)),198,99)&lt;256,--RIGHT(SUBSTITUTE(J7,".",REPT(" ",99)),99)&lt;256),J7="n/a")</formula1>
      <formula2>0</formula2>
    </dataValidation>
    <dataValidation allowBlank="true" error="Please enter a valid IP Address" errorTitle="Invalid IP Address" operator="between" prompt="Choosing not to validate the Security Thumbprints results in the initial connection to not be trusted, subsequent communication is then trusted. To ensure all communication including the initial connection is trusted provide the SSH and SSL" promptTitle="Validate Thumbprints" showDropDown="false" showErrorMessage="true" showInputMessage="true" sqref="K11" type="list">
      <formula1>"Yes,No"</formula1>
      <formula2>0</formula2>
    </dataValidation>
    <dataValidation allowBlank="true" error="Please enter a valid IP Address" errorTitle="Invalid IP Address" operator="between" prompt="Provide inclusion range" promptTitle="SDDC-DPortGroup-vMotion" showDropDown="false" showErrorMessage="true" showInputMessage="true" sqref="J8 L8" type="custom">
      <formula1>IF(ISNUMBER(VALUE(SUBSTITUTE(L8,".",""))),AND(--LEFT(L8,FIND(".",L8)-1)&lt;256,--MID(SUBSTITUTE(L8,".",REPT(" ",99)),99,99)&lt;256,--MID(SUBSTITUTE(L8,".",REPT(" ",99)),198,99)&lt;256,--RIGHT(SUBSTITUTE(L8,".",REPT(" ",99)),99)&lt;256),L8="n/a")</formula1>
      <formula2>0</formula2>
    </dataValidation>
    <dataValidation allowBlank="true" error="Please enter a valid IP Address" errorTitle="Invalid IP Address" operator="between" prompt="Provide inclusion range" promptTitle="SDDC-DPortGroup-VSAN" showDropDown="false" showErrorMessage="true" showInputMessage="true" sqref="J9 L9" type="custom">
      <formula1>IF(ISNUMBER(VALUE(SUBSTITUTE(L9,".",""))),AND(--LEFT(L9,FIND(".",L9)-1)&lt;256,--MID(SUBSTITUTE(L9,".",REPT(" ",99)),99,99)&lt;256,--MID(SUBSTITUTE(L9,".",REPT(" ",99)),198,99)&lt;256,--RIGHT(SUBSTITUTE(L9,".",REPT(" ",99)),99)&lt;256),L9="n/a")</formula1>
      <formula2>0</formula2>
    </dataValidation>
    <dataValidation allowBlank="true" operator="between" prompt="The length of the ESXi hostname must not exceed 15 characters, this is to accomodate NetBIOS naming and allows for joining the system to an Active Directory Domain." promptTitle="Hostname Length" showDropDown="false" showErrorMessage="true" showInputMessage="true" sqref="I6:L6" type="none">
      <formula1>0</formula1>
      <formula2>0</formula2>
    </dataValidation>
    <dataValidation allowBlank="true" operator="between" showDropDown="false" showErrorMessage="true" showInputMessage="true" sqref="E25:F25" type="list">
      <formula1>"Profile-1,Profile-2,Profile-3"</formula1>
      <formula2>0</formula2>
    </dataValidation>
    <dataValidation allowBlank="true" operator="between" showDropDown="false" showErrorMessage="true" showInputMessage="true" sqref="K23" type="list">
      <formula1>"No,Yes"</formula1>
      <formula2>0</formula2>
    </dataValidation>
    <dataValidation allowBlank="true" error="The VLAN ID can only be between 0 - 4094" errorTitle="VLAN ID Range" operator="between" showDropDown="false" showErrorMessage="true" showInputMessage="false" sqref="C10:C11" type="none">
      <formula1>0</formula1>
      <formula2>0</formula2>
    </dataValidation>
  </dataValidations>
  <printOptions headings="false" gridLines="false" gridLinesSet="true" horizontalCentered="false" verticalCentered="false"/>
  <pageMargins left="0.75" right="0.75" top="1" bottom="1"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L61"/>
  <sheetViews>
    <sheetView showFormulas="false" showGridLines="false" showRowColHeaders="true" showZeros="true" rightToLeft="false" tabSelected="false" showOutlineSymbols="true" defaultGridColor="true" view="normal" topLeftCell="D1" colorId="64" zoomScale="130" zoomScaleNormal="130" zoomScalePageLayoutView="100" workbookViewId="0">
      <pane xSplit="0" ySplit="4" topLeftCell="A50" activePane="bottomLeft" state="frozen"/>
      <selection pane="topLeft" activeCell="D1" activeCellId="0" sqref="D1"/>
      <selection pane="bottomLeft" activeCell="F39" activeCellId="0" sqref="F39"/>
    </sheetView>
  </sheetViews>
  <sheetFormatPr defaultColWidth="9.01171875" defaultRowHeight="13" zeroHeight="false" outlineLevelRow="0" outlineLevelCol="0"/>
  <cols>
    <col collapsed="false" customWidth="true" hidden="false" outlineLevel="0" max="1" min="1" style="242" width="1.16"/>
    <col collapsed="false" customWidth="true" hidden="false" outlineLevel="0" max="2" min="2" style="242" width="3.33"/>
    <col collapsed="false" customWidth="true" hidden="false" outlineLevel="0" max="3" min="3" style="242" width="45.83"/>
    <col collapsed="false" customWidth="true" hidden="false" outlineLevel="0" max="4" min="4" style="242" width="1.66"/>
    <col collapsed="false" customWidth="true" hidden="false" outlineLevel="0" max="5" min="5" style="242" width="42.83"/>
    <col collapsed="false" customWidth="true" hidden="false" outlineLevel="0" max="6" min="6" style="242" width="16.83"/>
    <col collapsed="false" customWidth="true" hidden="false" outlineLevel="0" max="7" min="7" style="242" width="18.85"/>
    <col collapsed="false" customWidth="true" hidden="false" outlineLevel="0" max="8" min="8" style="242" width="2.84"/>
    <col collapsed="false" customWidth="true" hidden="false" outlineLevel="0" max="9" min="9" style="242" width="41.34"/>
    <col collapsed="false" customWidth="true" hidden="false" outlineLevel="0" max="10" min="10" style="242" width="16.83"/>
    <col collapsed="false" customWidth="true" hidden="false" outlineLevel="0" max="11" min="11" style="242" width="17.33"/>
    <col collapsed="false" customWidth="false" hidden="false" outlineLevel="0" max="1024" min="12" style="242" width="9"/>
  </cols>
  <sheetData>
    <row r="1" customFormat="false" ht="48" hidden="false" customHeight="true" outlineLevel="0" collapsed="false">
      <c r="B1" s="243"/>
      <c r="C1" s="244"/>
      <c r="E1" s="242" t="s">
        <v>76</v>
      </c>
    </row>
    <row r="2" customFormat="false" ht="3" hidden="false" customHeight="true" outlineLevel="0" collapsed="false">
      <c r="B2" s="243"/>
      <c r="C2" s="244"/>
    </row>
    <row r="3" customFormat="false" ht="60" hidden="false" customHeight="true" outlineLevel="0" collapsed="false">
      <c r="B3" s="245" t="s">
        <v>193</v>
      </c>
      <c r="C3" s="245"/>
      <c r="D3" s="245"/>
      <c r="E3" s="245"/>
      <c r="F3" s="245"/>
      <c r="G3" s="245"/>
      <c r="H3" s="245"/>
      <c r="I3" s="245"/>
      <c r="J3" s="245"/>
      <c r="K3" s="245"/>
    </row>
    <row r="4" s="125" customFormat="true" ht="2.25" hidden="false" customHeight="true" outlineLevel="0" collapsed="false">
      <c r="B4" s="246"/>
      <c r="C4" s="246"/>
      <c r="I4" s="242"/>
      <c r="J4" s="242"/>
    </row>
    <row r="5" s="125" customFormat="true" ht="20" hidden="false" customHeight="false" outlineLevel="0" collapsed="false">
      <c r="B5" s="247" t="s">
        <v>194</v>
      </c>
      <c r="C5" s="248"/>
      <c r="E5" s="249" t="s">
        <v>195</v>
      </c>
      <c r="F5" s="250" t="s">
        <v>164</v>
      </c>
      <c r="G5" s="250"/>
      <c r="H5" s="251"/>
      <c r="I5" s="252" t="s">
        <v>196</v>
      </c>
      <c r="J5" s="253" t="s">
        <v>164</v>
      </c>
      <c r="K5" s="253"/>
    </row>
    <row r="6" s="125" customFormat="true" ht="12.8" hidden="false" customHeight="false" outlineLevel="0" collapsed="false">
      <c r="B6" s="254" t="str">
        <f aca="false">IF((AND('Prerequisite Checklist'!C7="Verified")),"✓","")</f>
        <v>✓</v>
      </c>
      <c r="C6" s="125" t="s">
        <v>197</v>
      </c>
      <c r="E6" s="255" t="s">
        <v>198</v>
      </c>
      <c r="F6" s="256" t="s">
        <v>199</v>
      </c>
      <c r="G6" s="256"/>
      <c r="H6" s="257"/>
      <c r="I6" s="255" t="s">
        <v>200</v>
      </c>
      <c r="J6" s="258" t="s">
        <v>201</v>
      </c>
      <c r="K6" s="258"/>
    </row>
    <row r="7" s="125" customFormat="true" ht="15" hidden="false" customHeight="true" outlineLevel="0" collapsed="false">
      <c r="B7" s="254" t="str">
        <f aca="false">IF((AND(F6&lt;&gt;"",F7&lt;&gt;"",J6&lt;&gt;"")),"✓","")</f>
        <v>✓</v>
      </c>
      <c r="C7" s="125" t="s">
        <v>202</v>
      </c>
      <c r="E7" s="255" t="s">
        <v>203</v>
      </c>
      <c r="F7" s="256" t="s">
        <v>154</v>
      </c>
      <c r="G7" s="256"/>
      <c r="H7" s="246"/>
    </row>
    <row r="8" s="125" customFormat="true" ht="15" hidden="false" customHeight="true" outlineLevel="0" collapsed="false">
      <c r="B8" s="254" t="str">
        <f aca="false">IF((AND(F8&lt;&gt;"",F9&lt;&gt;"")),"✓","")</f>
        <v>✓</v>
      </c>
      <c r="C8" s="125" t="s">
        <v>204</v>
      </c>
      <c r="E8" s="255" t="s">
        <v>205</v>
      </c>
      <c r="F8" s="256" t="s">
        <v>199</v>
      </c>
      <c r="G8" s="256"/>
      <c r="H8" s="246"/>
      <c r="I8" s="259" t="s">
        <v>206</v>
      </c>
      <c r="J8" s="259"/>
      <c r="K8" s="260" t="s">
        <v>207</v>
      </c>
    </row>
    <row r="9" s="125" customFormat="true" ht="15" hidden="false" customHeight="true" outlineLevel="0" collapsed="false">
      <c r="E9" s="255" t="s">
        <v>208</v>
      </c>
      <c r="F9" s="256" t="s">
        <v>154</v>
      </c>
      <c r="G9" s="256"/>
      <c r="H9" s="246"/>
    </row>
    <row r="10" s="125" customFormat="true" ht="15" hidden="false" customHeight="true" outlineLevel="0" collapsed="false">
      <c r="H10" s="246"/>
    </row>
    <row r="11" s="125" customFormat="true" ht="20.25" hidden="false" customHeight="true" outlineLevel="0" collapsed="false">
      <c r="B11" s="247" t="s">
        <v>209</v>
      </c>
      <c r="C11" s="261"/>
      <c r="E11" s="255" t="s">
        <v>26</v>
      </c>
      <c r="F11" s="250" t="s">
        <v>210</v>
      </c>
      <c r="G11" s="250" t="s">
        <v>211</v>
      </c>
      <c r="H11" s="257"/>
      <c r="I11" s="262" t="s">
        <v>212</v>
      </c>
      <c r="J11" s="250" t="s">
        <v>164</v>
      </c>
      <c r="K11" s="250"/>
    </row>
    <row r="12" s="125" customFormat="true" ht="15" hidden="false" customHeight="true" outlineLevel="0" collapsed="false">
      <c r="B12" s="254" t="str">
        <f aca="false">IF('Prerequisite Checklist'!C11="Verified","✓","")</f>
        <v/>
      </c>
      <c r="C12" s="125" t="s">
        <v>213</v>
      </c>
      <c r="E12" s="255" t="s">
        <v>214</v>
      </c>
      <c r="F12" s="263" t="s">
        <v>215</v>
      </c>
      <c r="G12" s="264" t="s">
        <v>216</v>
      </c>
      <c r="H12" s="257"/>
      <c r="I12" s="255" t="s">
        <v>217</v>
      </c>
      <c r="J12" s="263" t="s">
        <v>218</v>
      </c>
      <c r="K12" s="263"/>
    </row>
    <row r="13" s="125" customFormat="true" ht="13" hidden="false" customHeight="false" outlineLevel="0" collapsed="false">
      <c r="B13" s="254" t="str">
        <f aca="false">IF((AND('Prerequisite Checklist'!C8="Verified")),"✓","")</f>
        <v>✓</v>
      </c>
      <c r="C13" s="125" t="s">
        <v>219</v>
      </c>
      <c r="E13" s="249" t="s">
        <v>220</v>
      </c>
      <c r="F13" s="263" t="s">
        <v>221</v>
      </c>
      <c r="H13" s="246"/>
      <c r="I13" s="255" t="s">
        <v>222</v>
      </c>
      <c r="J13" s="265" t="s">
        <v>152</v>
      </c>
      <c r="K13" s="265"/>
    </row>
    <row r="14" s="125" customFormat="true" ht="13" hidden="false" customHeight="false" outlineLevel="0" collapsed="false">
      <c r="B14" s="254" t="str">
        <f aca="false">IF('Users and Groups'!C7&lt;&gt;"","✓","")</f>
        <v/>
      </c>
      <c r="C14" s="125" t="s">
        <v>223</v>
      </c>
      <c r="E14" s="249" t="s">
        <v>224</v>
      </c>
      <c r="F14" s="258" t="s">
        <v>225</v>
      </c>
      <c r="H14" s="246"/>
    </row>
    <row r="15" s="125" customFormat="true" ht="13" hidden="false" customHeight="false" outlineLevel="0" collapsed="false">
      <c r="B15" s="266" t="str">
        <f aca="false">IF((AND(F12&lt;&gt;"")),"✓","")</f>
        <v>✓</v>
      </c>
      <c r="C15" s="125" t="s">
        <v>226</v>
      </c>
      <c r="H15" s="246"/>
      <c r="I15" s="267" t="s">
        <v>227</v>
      </c>
      <c r="J15" s="267"/>
      <c r="K15" s="267"/>
    </row>
    <row r="16" s="125" customFormat="true" ht="15" hidden="false" customHeight="false" outlineLevel="0" collapsed="false">
      <c r="B16" s="266" t="str">
        <f aca="false">IF((AND(F17&lt;&gt;"",F18&lt;&gt;"",F19&lt;&gt;"")),"✓","")</f>
        <v>✓</v>
      </c>
      <c r="C16" s="125" t="s">
        <v>228</v>
      </c>
      <c r="E16" s="255" t="s">
        <v>229</v>
      </c>
      <c r="F16" s="250" t="s">
        <v>164</v>
      </c>
      <c r="G16" s="250"/>
      <c r="H16" s="246"/>
      <c r="I16" s="268" t="s">
        <v>230</v>
      </c>
      <c r="J16" s="269" t="s">
        <v>152</v>
      </c>
      <c r="K16" s="269"/>
    </row>
    <row r="17" s="125" customFormat="true" ht="15" hidden="false" customHeight="true" outlineLevel="0" collapsed="false">
      <c r="B17" s="266" t="str">
        <f aca="false">IF((AND(F23&lt;&gt;"",F24&lt;&gt;"",F25&lt;&gt;"",F26&lt;&gt;"")),"✓","")</f>
        <v>✓</v>
      </c>
      <c r="C17" s="125" t="s">
        <v>231</v>
      </c>
      <c r="E17" s="255" t="s">
        <v>232</v>
      </c>
      <c r="F17" s="263" t="s">
        <v>233</v>
      </c>
      <c r="G17" s="263"/>
      <c r="H17" s="246"/>
      <c r="I17" s="270" t="s">
        <v>234</v>
      </c>
      <c r="J17" s="271" t="s">
        <v>235</v>
      </c>
      <c r="K17" s="271"/>
    </row>
    <row r="18" s="125" customFormat="true" ht="15" hidden="false" customHeight="true" outlineLevel="0" collapsed="false">
      <c r="B18" s="272" t="str">
        <f aca="false">IF(AND('Hosts and Networks'!E15&lt;&gt;"",'Hosts and Networks'!E18&lt;&gt;"",'Hosts and Networks'!F18&lt;&gt;"",'Hosts and Networks'!E17&lt;&gt;"",'Hosts and Networks'!E19&lt;&gt;""),"✓","")</f>
        <v/>
      </c>
      <c r="C18" s="125" t="s">
        <v>236</v>
      </c>
      <c r="E18" s="255" t="s">
        <v>237</v>
      </c>
      <c r="F18" s="263" t="s">
        <v>238</v>
      </c>
      <c r="G18" s="263"/>
      <c r="H18" s="246"/>
      <c r="I18" s="270" t="s">
        <v>239</v>
      </c>
      <c r="J18" s="273" t="s">
        <v>86</v>
      </c>
      <c r="K18" s="273"/>
    </row>
    <row r="19" s="125" customFormat="true" ht="15" hidden="false" customHeight="true" outlineLevel="0" collapsed="false">
      <c r="B19" s="272" t="str">
        <f aca="false">IF(AND(J12&lt;&gt;"",J13&lt;&gt;""),"✓","")</f>
        <v>✓</v>
      </c>
      <c r="C19" s="125" t="s">
        <v>240</v>
      </c>
      <c r="E19" s="255" t="s">
        <v>241</v>
      </c>
      <c r="F19" s="271" t="s">
        <v>154</v>
      </c>
      <c r="G19" s="271"/>
      <c r="H19" s="246"/>
      <c r="I19" s="270" t="s">
        <v>242</v>
      </c>
      <c r="J19" s="271" t="s">
        <v>243</v>
      </c>
      <c r="K19" s="271"/>
    </row>
    <row r="20" s="125" customFormat="true" ht="15" hidden="false" customHeight="true" outlineLevel="0" collapsed="false">
      <c r="H20" s="246"/>
      <c r="I20" s="270" t="s">
        <v>244</v>
      </c>
      <c r="J20" s="270"/>
      <c r="K20" s="270"/>
    </row>
    <row r="21" s="125" customFormat="true" ht="15" hidden="false" customHeight="false" outlineLevel="0" collapsed="false">
      <c r="E21" s="255" t="s">
        <v>245</v>
      </c>
      <c r="F21" s="258" t="s">
        <v>246</v>
      </c>
      <c r="G21" s="258"/>
      <c r="H21" s="246"/>
      <c r="I21" s="274" t="s">
        <v>247</v>
      </c>
      <c r="J21" s="274"/>
      <c r="K21" s="274"/>
    </row>
    <row r="22" s="125" customFormat="true" ht="15" hidden="false" customHeight="true" outlineLevel="0" collapsed="false">
      <c r="E22" s="255" t="s">
        <v>248</v>
      </c>
      <c r="F22" s="250" t="s">
        <v>164</v>
      </c>
      <c r="G22" s="250"/>
      <c r="H22" s="246"/>
    </row>
    <row r="23" s="125" customFormat="true" ht="15" hidden="false" customHeight="true" outlineLevel="0" collapsed="false">
      <c r="E23" s="255" t="s">
        <v>249</v>
      </c>
      <c r="F23" s="263" t="s">
        <v>250</v>
      </c>
      <c r="G23" s="263"/>
      <c r="H23" s="246"/>
    </row>
    <row r="24" s="125" customFormat="true" ht="15" hidden="false" customHeight="true" outlineLevel="0" collapsed="false">
      <c r="E24" s="255" t="s">
        <v>251</v>
      </c>
      <c r="F24" s="263" t="s">
        <v>252</v>
      </c>
      <c r="G24" s="263"/>
      <c r="H24" s="246"/>
      <c r="I24" s="275" t="str">
        <f aca="false">IF(F21="Standard","You have selected the Standard Architecture, as a result VMware Cloud Builder will not create vSphere Resource Pools within the Management Domain","")</f>
        <v/>
      </c>
      <c r="J24" s="275"/>
      <c r="K24" s="275"/>
    </row>
    <row r="25" s="125" customFormat="true" ht="15" hidden="false" customHeight="true" outlineLevel="0" collapsed="false">
      <c r="E25" s="255" t="s">
        <v>253</v>
      </c>
      <c r="F25" s="263" t="s">
        <v>254</v>
      </c>
      <c r="G25" s="263"/>
      <c r="H25" s="246"/>
      <c r="I25" s="275"/>
      <c r="J25" s="275"/>
      <c r="K25" s="275"/>
    </row>
    <row r="26" s="125" customFormat="true" ht="15" hidden="false" customHeight="true" outlineLevel="0" collapsed="false">
      <c r="E26" s="255" t="s">
        <v>255</v>
      </c>
      <c r="F26" s="263" t="s">
        <v>256</v>
      </c>
      <c r="G26" s="263"/>
      <c r="H26" s="246"/>
    </row>
    <row r="27" s="125" customFormat="true" ht="15" hidden="false" customHeight="true" outlineLevel="0" collapsed="false">
      <c r="H27" s="246"/>
    </row>
    <row r="28" s="125" customFormat="true" ht="20.25" hidden="false" customHeight="true" outlineLevel="0" collapsed="false">
      <c r="B28" s="247" t="s">
        <v>89</v>
      </c>
      <c r="C28" s="261"/>
      <c r="E28" s="249" t="s">
        <v>257</v>
      </c>
      <c r="F28" s="250" t="s">
        <v>210</v>
      </c>
      <c r="G28" s="250" t="s">
        <v>211</v>
      </c>
      <c r="H28" s="276"/>
      <c r="I28" s="255" t="s">
        <v>258</v>
      </c>
      <c r="J28" s="255"/>
      <c r="K28" s="263" t="s">
        <v>207</v>
      </c>
    </row>
    <row r="29" s="125" customFormat="true" ht="15" hidden="false" customHeight="true" outlineLevel="0" collapsed="false">
      <c r="B29" s="254" t="str">
        <f aca="false">IF('Prerequisite Checklist'!C11="Verified","✓","")</f>
        <v/>
      </c>
      <c r="C29" s="125" t="s">
        <v>259</v>
      </c>
      <c r="E29" s="255" t="s">
        <v>260</v>
      </c>
      <c r="F29" s="263" t="s">
        <v>261</v>
      </c>
      <c r="G29" s="264" t="s">
        <v>262</v>
      </c>
      <c r="H29" s="276"/>
      <c r="L29" s="242"/>
    </row>
    <row r="30" s="125" customFormat="true" ht="15" hidden="false" customHeight="true" outlineLevel="0" collapsed="false">
      <c r="B30" s="266" t="str">
        <f aca="false">IF((AND(F29&lt;&gt;"",F30&lt;&gt;"",F31&lt;&gt;"",F32&lt;&gt;"",G29&lt;&gt;"",G30&lt;&gt;"",G31&lt;&gt;"",G32&lt;&gt;"")),"✓","")</f>
        <v>✓</v>
      </c>
      <c r="C30" s="125" t="s">
        <v>263</v>
      </c>
      <c r="E30" s="255" t="s">
        <v>30</v>
      </c>
      <c r="F30" s="263" t="s">
        <v>264</v>
      </c>
      <c r="G30" s="264" t="s">
        <v>265</v>
      </c>
      <c r="H30" s="277" t="n">
        <f aca="false">MID(G31,FIND(".",G31,FIND(".",G31,FIND(".",G31)+1)+1)+1,LEN(G31)-FIND(".",G31,FIND(".",G31,FIND(".",G31)+1)+1))-(MID(G30,FIND(".",G30,FIND(".",G30,FIND(".",G30)+1)+1)+1,LEN(G30)-FIND(".",G30,FIND(".",G30,FIND(".",G30)+1)+1))-1)&lt;3</f>
        <v>1</v>
      </c>
      <c r="I30" s="278" t="str">
        <f aca="false">IF(K28="No","NOTE: Disabling the deployment and configuration of Application Virtual Networks during the Bringup process will result in vRealize Solutions being deployed on a traditional VLAN.","")</f>
        <v/>
      </c>
      <c r="J30" s="278"/>
      <c r="K30" s="278"/>
      <c r="L30" s="242"/>
    </row>
    <row r="31" s="125" customFormat="true" ht="15" hidden="false" customHeight="true" outlineLevel="0" collapsed="false">
      <c r="E31" s="255" t="s">
        <v>31</v>
      </c>
      <c r="F31" s="263" t="s">
        <v>266</v>
      </c>
      <c r="G31" s="264" t="s">
        <v>267</v>
      </c>
      <c r="H31" s="277"/>
      <c r="I31" s="278"/>
      <c r="J31" s="278"/>
      <c r="K31" s="278"/>
      <c r="L31" s="242"/>
    </row>
    <row r="32" s="125" customFormat="true" ht="15" hidden="false" customHeight="true" outlineLevel="0" collapsed="false">
      <c r="E32" s="255" t="s">
        <v>32</v>
      </c>
      <c r="F32" s="263" t="s">
        <v>268</v>
      </c>
      <c r="G32" s="264" t="s">
        <v>269</v>
      </c>
      <c r="H32" s="277" t="e">
        <f aca="false">MID(#REF!,FIND(".",#REF!,FIND(".",#REF!,FIND(".",#REF!)+1)+1)+1,LEN(#REF!)-FIND(".",#REF!,FIND(".",#REF!,FIND(".",#REF!)+1)+1))-(MID(#REF!,FIND(".",#REF!,FIND(".",#REF!,FIND(".",#REF!)+1)+1)+1,LEN(#REF!)-FIND(".",#REF!,FIND(".",#REF!,FIND(".",#REF!)+1)+1))-1)&lt;((8-#REF!)*2)</f>
        <v>#REF!</v>
      </c>
      <c r="I32" s="278"/>
      <c r="J32" s="278"/>
      <c r="K32" s="278"/>
      <c r="L32" s="242"/>
    </row>
    <row r="33" s="125" customFormat="true" ht="15" hidden="false" customHeight="true" outlineLevel="0" collapsed="false">
      <c r="E33" s="249" t="s">
        <v>270</v>
      </c>
      <c r="F33" s="263" t="s">
        <v>271</v>
      </c>
      <c r="H33" s="277"/>
      <c r="I33" s="242"/>
      <c r="J33" s="242"/>
      <c r="K33" s="242"/>
      <c r="L33" s="242"/>
    </row>
    <row r="34" s="125" customFormat="true" ht="15" hidden="false" customHeight="true" outlineLevel="0" collapsed="false">
      <c r="H34" s="277"/>
      <c r="I34" s="242"/>
      <c r="J34" s="242"/>
      <c r="K34" s="242"/>
      <c r="L34" s="242"/>
    </row>
    <row r="35" s="125" customFormat="true" ht="15" hidden="false" customHeight="true" outlineLevel="0" collapsed="false">
      <c r="E35" s="267" t="s">
        <v>272</v>
      </c>
      <c r="F35" s="267"/>
      <c r="G35" s="267"/>
      <c r="H35" s="267"/>
      <c r="I35" s="267"/>
      <c r="J35" s="267"/>
      <c r="K35" s="267"/>
      <c r="L35" s="242"/>
    </row>
    <row r="36" s="125" customFormat="true" ht="15" hidden="false" customHeight="true" outlineLevel="0" collapsed="false">
      <c r="E36" s="279" t="s">
        <v>273</v>
      </c>
      <c r="F36" s="280" t="s">
        <v>164</v>
      </c>
      <c r="G36" s="280"/>
      <c r="H36" s="277"/>
      <c r="I36" s="279" t="s">
        <v>274</v>
      </c>
      <c r="J36" s="280" t="s">
        <v>164</v>
      </c>
      <c r="K36" s="280"/>
      <c r="L36" s="242"/>
    </row>
    <row r="37" s="125" customFormat="true" ht="15" hidden="false" customHeight="true" outlineLevel="0" collapsed="false">
      <c r="E37" s="270" t="s">
        <v>275</v>
      </c>
      <c r="F37" s="258" t="s">
        <v>276</v>
      </c>
      <c r="G37" s="258"/>
      <c r="H37" s="277"/>
      <c r="I37" s="270" t="s">
        <v>277</v>
      </c>
      <c r="J37" s="281" t="s">
        <v>145</v>
      </c>
      <c r="K37" s="281"/>
      <c r="L37" s="242"/>
    </row>
    <row r="38" s="125" customFormat="true" ht="15" hidden="false" customHeight="true" outlineLevel="0" collapsed="false">
      <c r="E38" s="270" t="s">
        <v>278</v>
      </c>
      <c r="F38" s="258" t="n">
        <v>65000</v>
      </c>
      <c r="G38" s="258"/>
      <c r="H38" s="277"/>
      <c r="I38" s="270" t="s">
        <v>279</v>
      </c>
      <c r="J38" s="258" t="n">
        <v>65001</v>
      </c>
      <c r="K38" s="258"/>
      <c r="L38" s="242"/>
    </row>
    <row r="39" s="125" customFormat="true" ht="15" hidden="false" customHeight="true" outlineLevel="0" collapsed="false">
      <c r="E39" s="270" t="s">
        <v>280</v>
      </c>
      <c r="F39" s="263" t="s">
        <v>271</v>
      </c>
      <c r="G39" s="263"/>
      <c r="H39" s="277"/>
      <c r="I39" s="270" t="s">
        <v>281</v>
      </c>
      <c r="J39" s="258"/>
      <c r="K39" s="258"/>
      <c r="L39" s="242"/>
    </row>
    <row r="40" s="125" customFormat="true" ht="15" hidden="false" customHeight="true" outlineLevel="0" collapsed="false">
      <c r="E40" s="279" t="s">
        <v>282</v>
      </c>
      <c r="F40" s="280" t="s">
        <v>164</v>
      </c>
      <c r="G40" s="280"/>
      <c r="H40" s="277"/>
      <c r="I40" s="270" t="s">
        <v>283</v>
      </c>
      <c r="J40" s="282" t="s">
        <v>149</v>
      </c>
      <c r="K40" s="282"/>
      <c r="L40" s="242"/>
    </row>
    <row r="41" s="125" customFormat="true" ht="15" hidden="false" customHeight="true" outlineLevel="0" collapsed="false">
      <c r="E41" s="270" t="s">
        <v>284</v>
      </c>
      <c r="F41" s="258" t="s">
        <v>285</v>
      </c>
      <c r="G41" s="258"/>
      <c r="H41" s="277"/>
      <c r="I41" s="270" t="s">
        <v>286</v>
      </c>
      <c r="J41" s="258" t="n">
        <v>65001</v>
      </c>
      <c r="K41" s="258"/>
      <c r="L41" s="242"/>
    </row>
    <row r="42" s="125" customFormat="true" ht="15" hidden="false" customHeight="true" outlineLevel="0" collapsed="false">
      <c r="E42" s="270" t="s">
        <v>287</v>
      </c>
      <c r="F42" s="283" t="s">
        <v>288</v>
      </c>
      <c r="G42" s="283"/>
      <c r="H42" s="277"/>
      <c r="I42" s="270" t="s">
        <v>289</v>
      </c>
      <c r="J42" s="258"/>
      <c r="K42" s="258"/>
      <c r="L42" s="242"/>
    </row>
    <row r="43" s="125" customFormat="true" ht="15" hidden="false" customHeight="true" outlineLevel="0" collapsed="false">
      <c r="E43" s="270" t="s">
        <v>290</v>
      </c>
      <c r="F43" s="281" t="s">
        <v>291</v>
      </c>
      <c r="G43" s="281"/>
      <c r="H43" s="277"/>
      <c r="L43" s="242"/>
    </row>
    <row r="44" s="125" customFormat="true" ht="15" hidden="false" customHeight="true" outlineLevel="0" collapsed="false">
      <c r="E44" s="270" t="s">
        <v>292</v>
      </c>
      <c r="F44" s="282" t="s">
        <v>293</v>
      </c>
      <c r="G44" s="282"/>
      <c r="H44" s="277"/>
      <c r="I44" s="268" t="s">
        <v>294</v>
      </c>
      <c r="J44" s="284"/>
      <c r="K44" s="284"/>
      <c r="L44" s="242"/>
    </row>
    <row r="45" s="125" customFormat="true" ht="15" hidden="false" customHeight="true" outlineLevel="0" collapsed="false">
      <c r="E45" s="270" t="s">
        <v>295</v>
      </c>
      <c r="F45" s="285" t="s">
        <v>296</v>
      </c>
      <c r="G45" s="285"/>
      <c r="H45" s="277"/>
      <c r="I45" s="279" t="s">
        <v>297</v>
      </c>
      <c r="J45" s="280" t="s">
        <v>109</v>
      </c>
      <c r="K45" s="280" t="s">
        <v>108</v>
      </c>
      <c r="L45" s="242"/>
    </row>
    <row r="46" s="125" customFormat="true" ht="15" hidden="false" customHeight="true" outlineLevel="0" collapsed="false">
      <c r="E46" s="270" t="s">
        <v>298</v>
      </c>
      <c r="F46" s="285" t="s">
        <v>299</v>
      </c>
      <c r="G46" s="285"/>
      <c r="H46" s="277"/>
      <c r="I46" s="286" t="s">
        <v>300</v>
      </c>
      <c r="J46" s="273" t="s">
        <v>301</v>
      </c>
      <c r="K46" s="273"/>
      <c r="L46" s="242"/>
    </row>
    <row r="47" s="125" customFormat="true" ht="15" hidden="false" customHeight="true" outlineLevel="0" collapsed="false">
      <c r="E47" s="279" t="s">
        <v>302</v>
      </c>
      <c r="F47" s="280" t="s">
        <v>164</v>
      </c>
      <c r="G47" s="280"/>
      <c r="H47" s="277"/>
      <c r="I47" s="286" t="s">
        <v>303</v>
      </c>
      <c r="J47" s="287" t="s">
        <v>304</v>
      </c>
      <c r="K47" s="287" t="s">
        <v>305</v>
      </c>
      <c r="L47" s="242"/>
    </row>
    <row r="48" s="125" customFormat="true" ht="15" hidden="false" customHeight="true" outlineLevel="0" collapsed="false">
      <c r="E48" s="270" t="s">
        <v>306</v>
      </c>
      <c r="F48" s="258" t="s">
        <v>307</v>
      </c>
      <c r="G48" s="258"/>
      <c r="H48" s="277"/>
      <c r="I48" s="279" t="s">
        <v>308</v>
      </c>
      <c r="J48" s="280" t="s">
        <v>109</v>
      </c>
      <c r="K48" s="280" t="s">
        <v>108</v>
      </c>
      <c r="L48" s="242"/>
    </row>
    <row r="49" s="125" customFormat="true" ht="15" hidden="false" customHeight="true" outlineLevel="0" collapsed="false">
      <c r="E49" s="270" t="s">
        <v>309</v>
      </c>
      <c r="F49" s="283" t="s">
        <v>310</v>
      </c>
      <c r="G49" s="283"/>
      <c r="H49" s="277"/>
      <c r="I49" s="286" t="s">
        <v>311</v>
      </c>
      <c r="J49" s="273" t="s">
        <v>312</v>
      </c>
      <c r="K49" s="273"/>
      <c r="L49" s="242"/>
    </row>
    <row r="50" s="125" customFormat="true" ht="15" hidden="false" customHeight="true" outlineLevel="0" collapsed="false">
      <c r="E50" s="270" t="s">
        <v>313</v>
      </c>
      <c r="F50" s="281" t="s">
        <v>314</v>
      </c>
      <c r="G50" s="281"/>
      <c r="H50" s="277"/>
      <c r="I50" s="286" t="s">
        <v>315</v>
      </c>
      <c r="J50" s="288" t="s">
        <v>316</v>
      </c>
      <c r="K50" s="288" t="s">
        <v>317</v>
      </c>
      <c r="L50" s="242"/>
    </row>
    <row r="51" s="125" customFormat="true" ht="15" hidden="false" customHeight="true" outlineLevel="0" collapsed="false">
      <c r="E51" s="270" t="s">
        <v>318</v>
      </c>
      <c r="F51" s="282" t="s">
        <v>319</v>
      </c>
      <c r="G51" s="282"/>
      <c r="H51" s="277"/>
      <c r="L51" s="242"/>
    </row>
    <row r="52" s="125" customFormat="true" ht="15" hidden="false" customHeight="true" outlineLevel="0" collapsed="false">
      <c r="E52" s="270" t="s">
        <v>320</v>
      </c>
      <c r="F52" s="285" t="s">
        <v>321</v>
      </c>
      <c r="G52" s="285"/>
      <c r="H52" s="277"/>
      <c r="L52" s="242"/>
    </row>
    <row r="53" s="125" customFormat="true" ht="15" hidden="false" customHeight="true" outlineLevel="0" collapsed="false">
      <c r="E53" s="270" t="s">
        <v>322</v>
      </c>
      <c r="F53" s="285" t="s">
        <v>323</v>
      </c>
      <c r="G53" s="285"/>
      <c r="H53" s="277"/>
      <c r="L53" s="242"/>
    </row>
    <row r="54" s="125" customFormat="true" ht="15" hidden="false" customHeight="true" outlineLevel="0" collapsed="false">
      <c r="H54" s="277"/>
      <c r="L54" s="242"/>
    </row>
    <row r="55" s="125" customFormat="true" ht="20.25" hidden="false" customHeight="true" outlineLevel="0" collapsed="false">
      <c r="B55" s="247" t="s">
        <v>95</v>
      </c>
      <c r="C55" s="261"/>
      <c r="E55" s="249" t="s">
        <v>95</v>
      </c>
      <c r="F55" s="250" t="s">
        <v>164</v>
      </c>
      <c r="G55" s="250"/>
      <c r="H55" s="246"/>
      <c r="L55" s="242"/>
    </row>
    <row r="56" customFormat="false" ht="14" hidden="false" customHeight="true" outlineLevel="0" collapsed="false">
      <c r="B56" s="254" t="str">
        <f aca="false">IF('Prerequisite Checklist'!C11="Verified","✓","")</f>
        <v/>
      </c>
      <c r="C56" s="125" t="s">
        <v>324</v>
      </c>
      <c r="E56" s="255" t="s">
        <v>325</v>
      </c>
      <c r="F56" s="273" t="s">
        <v>326</v>
      </c>
      <c r="G56" s="273"/>
    </row>
    <row r="57" customFormat="false" ht="14" hidden="false" customHeight="true" outlineLevel="0" collapsed="false">
      <c r="B57" s="266" t="str">
        <f aca="false">IF((AND(F56&lt;&gt;"",F57&lt;&gt;"")),"✓","")</f>
        <v>✓</v>
      </c>
      <c r="C57" s="125" t="s">
        <v>327</v>
      </c>
      <c r="E57" s="255" t="s">
        <v>328</v>
      </c>
      <c r="F57" s="289" t="s">
        <v>329</v>
      </c>
      <c r="G57" s="289"/>
    </row>
    <row r="58" customFormat="false" ht="14" hidden="false" customHeight="true" outlineLevel="0" collapsed="false">
      <c r="E58" s="255" t="s">
        <v>330</v>
      </c>
      <c r="F58" s="273" t="s">
        <v>331</v>
      </c>
      <c r="G58" s="273"/>
    </row>
    <row r="59" customFormat="false" ht="14" hidden="false" customHeight="true" outlineLevel="0" collapsed="false"/>
    <row r="60" customFormat="false" ht="14" hidden="false" customHeight="true" outlineLevel="0" collapsed="false">
      <c r="E60" s="249" t="s">
        <v>332</v>
      </c>
      <c r="F60" s="263" t="s">
        <v>333</v>
      </c>
      <c r="G60" s="263"/>
    </row>
    <row r="61" customFormat="false" ht="14" hidden="false" customHeight="true" outlineLevel="0" collapsed="false"/>
  </sheetData>
  <sheetProtection sheet="true" objects="true" scenarios="true"/>
  <mergeCells count="62">
    <mergeCell ref="B3:K3"/>
    <mergeCell ref="F5:G5"/>
    <mergeCell ref="J5:K5"/>
    <mergeCell ref="F6:G6"/>
    <mergeCell ref="J6:K6"/>
    <mergeCell ref="F7:G7"/>
    <mergeCell ref="F8:G8"/>
    <mergeCell ref="I8:J8"/>
    <mergeCell ref="F9:G9"/>
    <mergeCell ref="J11:K11"/>
    <mergeCell ref="J12:K12"/>
    <mergeCell ref="J13:K13"/>
    <mergeCell ref="F16:G16"/>
    <mergeCell ref="J16:K16"/>
    <mergeCell ref="F17:G17"/>
    <mergeCell ref="J17:K17"/>
    <mergeCell ref="F18:G18"/>
    <mergeCell ref="J18:K18"/>
    <mergeCell ref="F19:G19"/>
    <mergeCell ref="J19:K19"/>
    <mergeCell ref="I20:K20"/>
    <mergeCell ref="F21:G21"/>
    <mergeCell ref="I21:K21"/>
    <mergeCell ref="F22:G22"/>
    <mergeCell ref="F23:G23"/>
    <mergeCell ref="F24:G24"/>
    <mergeCell ref="I24:K25"/>
    <mergeCell ref="F25:G25"/>
    <mergeCell ref="F26:G26"/>
    <mergeCell ref="I30:K32"/>
    <mergeCell ref="F36:G36"/>
    <mergeCell ref="J36:K36"/>
    <mergeCell ref="F37:G37"/>
    <mergeCell ref="J37:K37"/>
    <mergeCell ref="F38:G38"/>
    <mergeCell ref="J38:K38"/>
    <mergeCell ref="F39:G39"/>
    <mergeCell ref="J39:K39"/>
    <mergeCell ref="F40:G40"/>
    <mergeCell ref="J40:K40"/>
    <mergeCell ref="F41:G41"/>
    <mergeCell ref="J41:K41"/>
    <mergeCell ref="F42:G42"/>
    <mergeCell ref="J42:K42"/>
    <mergeCell ref="F43:G43"/>
    <mergeCell ref="F44:G44"/>
    <mergeCell ref="F45:G45"/>
    <mergeCell ref="F46:G46"/>
    <mergeCell ref="J46:K46"/>
    <mergeCell ref="F47:G47"/>
    <mergeCell ref="F48:G48"/>
    <mergeCell ref="F49:G49"/>
    <mergeCell ref="J49:K49"/>
    <mergeCell ref="F50:G50"/>
    <mergeCell ref="F51:G51"/>
    <mergeCell ref="F52:G52"/>
    <mergeCell ref="F53:G53"/>
    <mergeCell ref="F55:G55"/>
    <mergeCell ref="F56:G56"/>
    <mergeCell ref="F57:G57"/>
    <mergeCell ref="F58:G58"/>
    <mergeCell ref="F60:G60"/>
  </mergeCells>
  <conditionalFormatting sqref="B28:B30 B60:B316 B56:B57 B5 B11:B12 B7:B8 B14:B18">
    <cfRule type="cellIs" priority="2" operator="equal" aboveAverage="0" equalAverage="0" bottom="0" percent="0" rank="0" text="" dxfId="83">
      <formula>"✓"</formula>
    </cfRule>
  </conditionalFormatting>
  <conditionalFormatting sqref="B18">
    <cfRule type="cellIs" priority="3" operator="equal" aboveAverage="0" equalAverage="0" bottom="0" percent="0" rank="0" text="" dxfId="84">
      <formula>"✓"</formula>
    </cfRule>
  </conditionalFormatting>
  <conditionalFormatting sqref="B6">
    <cfRule type="cellIs" priority="4" operator="equal" aboveAverage="0" equalAverage="0" bottom="0" percent="0" rank="0" text="" dxfId="85">
      <formula>"✓"</formula>
    </cfRule>
  </conditionalFormatting>
  <conditionalFormatting sqref="J12:K12 G12">
    <cfRule type="expression" priority="5" aboveAverage="0" equalAverage="0" bottom="0" percent="0" rank="0" text="" dxfId="86">
      <formula>LEN(TRIM(G12))=0</formula>
    </cfRule>
  </conditionalFormatting>
  <conditionalFormatting sqref="F7">
    <cfRule type="expression" priority="6" aboveAverage="0" equalAverage="0" bottom="0" percent="0" rank="0" text="" dxfId="87">
      <formula>LEN(TRIM(F7))=0</formula>
    </cfRule>
    <cfRule type="containsText" priority="7" operator="containsText" aboveAverage="0" equalAverage="0" bottom="0" percent="0" rank="0" text="n/a" dxfId="88">
      <formula>NOT(ISERROR(SEARCH("n/a",F7)))</formula>
    </cfRule>
    <cfRule type="expression" priority="8" aboveAverage="0" equalAverage="0" bottom="0" percent="0" rank="0" text="" dxfId="89">
      <formula>IF(LEN(F7)-LEN(SUBSTITUTE(F7,".",""))=3,0,1)</formula>
    </cfRule>
  </conditionalFormatting>
  <conditionalFormatting sqref="F8 J17:K18 F17:F18">
    <cfRule type="containsText" priority="9" operator="containsText" aboveAverage="0" equalAverage="0" bottom="0" percent="0" rank="0" text="n/a" dxfId="90">
      <formula>NOT(ISERROR(SEARCH("n/a",F8)))</formula>
    </cfRule>
    <cfRule type="expression" priority="10" aboveAverage="0" equalAverage="0" bottom="0" percent="0" rank="0" text="" dxfId="91">
      <formula>LEN(TRIM(F8))=0</formula>
    </cfRule>
  </conditionalFormatting>
  <conditionalFormatting sqref="F29">
    <cfRule type="containsText" priority="11" operator="containsText" aboveAverage="0" equalAverage="0" bottom="0" percent="0" rank="0" text="n/a" dxfId="92">
      <formula>NOT(ISERROR(SEARCH("n/a",F29)))</formula>
    </cfRule>
    <cfRule type="expression" priority="12" aboveAverage="0" equalAverage="0" bottom="0" percent="0" rank="0" text="" dxfId="93">
      <formula>LEN(TRIM(F29))=0</formula>
    </cfRule>
  </conditionalFormatting>
  <conditionalFormatting sqref="F12">
    <cfRule type="containsText" priority="13" operator="containsText" aboveAverage="0" equalAverage="0" bottom="0" percent="0" rank="0" text="n/a" dxfId="94">
      <formula>NOT(ISERROR(SEARCH("n/a",F12)))</formula>
    </cfRule>
    <cfRule type="expression" priority="14" aboveAverage="0" equalAverage="0" bottom="0" percent="0" rank="0" text="" dxfId="95">
      <formula>LEN(TRIM(F12))=0</formula>
    </cfRule>
  </conditionalFormatting>
  <conditionalFormatting sqref="F60:G60">
    <cfRule type="containsText" priority="15" operator="containsText" aboveAverage="0" equalAverage="0" bottom="0" percent="0" rank="0" text="n/a" dxfId="96">
      <formula>NOT(ISERROR(SEARCH("n/a",F60)))</formula>
    </cfRule>
    <cfRule type="expression" priority="16" aboveAverage="0" equalAverage="0" bottom="0" percent="0" rank="0" text="" dxfId="97">
      <formula>LEN(TRIM(F60))=0</formula>
    </cfRule>
  </conditionalFormatting>
  <conditionalFormatting sqref="G29">
    <cfRule type="expression" priority="17" aboveAverage="0" equalAverage="0" bottom="0" percent="0" rank="0" text="" dxfId="98">
      <formula>LEN(TRIM(G29))=0</formula>
    </cfRule>
  </conditionalFormatting>
  <conditionalFormatting sqref="F9">
    <cfRule type="expression" priority="18" aboveAverage="0" equalAverage="0" bottom="0" percent="0" rank="0" text="" dxfId="99">
      <formula>LEN(TRIM(F9))=0</formula>
    </cfRule>
    <cfRule type="containsText" priority="19" operator="containsText" aboveAverage="0" equalAverage="0" bottom="0" percent="0" rank="0" text="n/a" dxfId="100">
      <formula>NOT(ISERROR(SEARCH("n/a",F9)))</formula>
    </cfRule>
  </conditionalFormatting>
  <conditionalFormatting sqref="B13">
    <cfRule type="cellIs" priority="20" operator="equal" aboveAverage="0" equalAverage="0" bottom="0" percent="0" rank="0" text="" dxfId="101">
      <formula>"✓"</formula>
    </cfRule>
  </conditionalFormatting>
  <conditionalFormatting sqref="B55">
    <cfRule type="cellIs" priority="21" operator="equal" aboveAverage="0" equalAverage="0" bottom="0" percent="0" rank="0" text="" dxfId="102">
      <formula>"✓"</formula>
    </cfRule>
  </conditionalFormatting>
  <conditionalFormatting sqref="F6">
    <cfRule type="containsText" priority="22" operator="containsText" aboveAverage="0" equalAverage="0" bottom="0" percent="0" rank="0" text="n/a" dxfId="103">
      <formula>NOT(ISERROR(SEARCH("n/a",F6)))</formula>
    </cfRule>
    <cfRule type="expression" priority="23" aboveAverage="0" equalAverage="0" bottom="0" percent="0" rank="0" text="" dxfId="104">
      <formula>LEN(TRIM(F6))=0</formula>
    </cfRule>
    <cfRule type="expression" priority="24" aboveAverage="0" equalAverage="0" bottom="0" percent="0" rank="0" text="" dxfId="105">
      <formula>IF(LEN(F6)-LEN(SUBSTITUTE(F6,".",""))=3,0,1)</formula>
    </cfRule>
  </conditionalFormatting>
  <conditionalFormatting sqref="J6:K6">
    <cfRule type="containsText" priority="25" operator="containsText" aboveAverage="0" equalAverage="0" bottom="0" percent="0" rank="0" text="n/a" dxfId="106">
      <formula>NOT(ISERROR(SEARCH("n/a",J6)))</formula>
    </cfRule>
    <cfRule type="expression" priority="26" aboveAverage="0" equalAverage="0" bottom="0" percent="0" rank="0" text="" dxfId="107">
      <formula>LEN(TRIM(J6))=0</formula>
    </cfRule>
  </conditionalFormatting>
  <conditionalFormatting sqref="J12:K12">
    <cfRule type="top10" priority="27" aboveAverage="0" equalAverage="0" bottom="0" percent="0" rank="10" text="" dxfId="108"/>
  </conditionalFormatting>
  <conditionalFormatting sqref="F23:G23">
    <cfRule type="containsText" priority="28" operator="containsText" aboveAverage="0" equalAverage="0" bottom="0" percent="0" rank="0" text="n/a" dxfId="109">
      <formula>NOT(ISERROR(SEARCH("n/a",F23)))</formula>
    </cfRule>
    <cfRule type="expression" priority="29" aboveAverage="0" equalAverage="0" bottom="0" percent="0" rank="0" text="" dxfId="110">
      <formula>LEN(TRIM(F23))=0</formula>
    </cfRule>
  </conditionalFormatting>
  <conditionalFormatting sqref="F24:G24">
    <cfRule type="containsText" priority="30" operator="containsText" aboveAverage="0" equalAverage="0" bottom="0" percent="0" rank="0" text="n/a" dxfId="111">
      <formula>NOT(ISERROR(SEARCH("n/a",F24)))</formula>
    </cfRule>
    <cfRule type="expression" priority="31" aboveAverage="0" equalAverage="0" bottom="0" percent="0" rank="0" text="" dxfId="112">
      <formula>LEN(TRIM(F24))=0</formula>
    </cfRule>
  </conditionalFormatting>
  <conditionalFormatting sqref="F57:G57">
    <cfRule type="expression" priority="32" aboveAverage="0" equalAverage="0" bottom="0" percent="0" rank="0" text="" dxfId="113">
      <formula>IF(LEN(F57)-LEN(SUBSTITUTE(F57,".",""))=3,0,1)</formula>
    </cfRule>
    <cfRule type="containsText" priority="33" operator="containsText" aboveAverage="0" equalAverage="0" bottom="0" percent="0" rank="0" text="n/a" dxfId="114">
      <formula>NOT(ISERROR(SEARCH("n/a",F57)))</formula>
    </cfRule>
    <cfRule type="expression" priority="34" aboveAverage="0" equalAverage="0" bottom="0" percent="0" rank="0" text="" dxfId="115">
      <formula>LEN(TRIM(F57))=0</formula>
    </cfRule>
  </conditionalFormatting>
  <conditionalFormatting sqref="G12">
    <cfRule type="expression" priority="35" aboveAverage="0" equalAverage="0" bottom="0" percent="0" rank="0" text="" dxfId="116">
      <formula>IF(LEN(G12)-LEN(SUBSTITUTE(G12,".",""))=3,0,1)</formula>
    </cfRule>
  </conditionalFormatting>
  <conditionalFormatting sqref="G29">
    <cfRule type="expression" priority="36" aboveAverage="0" equalAverage="0" bottom="0" percent="0" rank="0" text="" dxfId="117">
      <formula>IF(LEN(G29)-LEN(SUBSTITUTE(G29,".",""))=3,0,1)</formula>
    </cfRule>
  </conditionalFormatting>
  <conditionalFormatting sqref="F30">
    <cfRule type="containsText" priority="37" operator="containsText" aboveAverage="0" equalAverage="0" bottom="0" percent="0" rank="0" text="n/a" dxfId="118">
      <formula>NOT(ISERROR(SEARCH("n/a",F30)))</formula>
    </cfRule>
    <cfRule type="expression" priority="38" aboveAverage="0" equalAverage="0" bottom="0" percent="0" rank="0" text="" dxfId="119">
      <formula>LEN(TRIM(F30))=0</formula>
    </cfRule>
  </conditionalFormatting>
  <conditionalFormatting sqref="G30">
    <cfRule type="expression" priority="39" aboveAverage="0" equalAverage="0" bottom="0" percent="0" rank="0" text="" dxfId="120">
      <formula>LEN(TRIM(G30))=0</formula>
    </cfRule>
  </conditionalFormatting>
  <conditionalFormatting sqref="G30">
    <cfRule type="expression" priority="40" aboveAverage="0" equalAverage="0" bottom="0" percent="0" rank="0" text="" dxfId="121">
      <formula>IF(LEN(G30)-LEN(SUBSTITUTE(G30,".",""))=3,0,1)</formula>
    </cfRule>
  </conditionalFormatting>
  <conditionalFormatting sqref="F31">
    <cfRule type="containsText" priority="41" operator="containsText" aboveAverage="0" equalAverage="0" bottom="0" percent="0" rank="0" text="n/a" dxfId="122">
      <formula>NOT(ISERROR(SEARCH("n/a",F31)))</formula>
    </cfRule>
    <cfRule type="expression" priority="42" aboveAverage="0" equalAverage="0" bottom="0" percent="0" rank="0" text="" dxfId="123">
      <formula>LEN(TRIM(F31))=0</formula>
    </cfRule>
  </conditionalFormatting>
  <conditionalFormatting sqref="G31">
    <cfRule type="expression" priority="43" aboveAverage="0" equalAverage="0" bottom="0" percent="0" rank="0" text="" dxfId="124">
      <formula>LEN(TRIM(G31))=0</formula>
    </cfRule>
  </conditionalFormatting>
  <conditionalFormatting sqref="G31">
    <cfRule type="expression" priority="44" aboveAverage="0" equalAverage="0" bottom="0" percent="0" rank="0" text="" dxfId="125">
      <formula>IF(LEN(G31)-LEN(SUBSTITUTE(G31,".",""))=3,0,1)</formula>
    </cfRule>
  </conditionalFormatting>
  <conditionalFormatting sqref="F32">
    <cfRule type="containsText" priority="45" operator="containsText" aboveAverage="0" equalAverage="0" bottom="0" percent="0" rank="0" text="n/a" dxfId="126">
      <formula>NOT(ISERROR(SEARCH("n/a",F32)))</formula>
    </cfRule>
    <cfRule type="expression" priority="46" aboveAverage="0" equalAverage="0" bottom="0" percent="0" rank="0" text="" dxfId="127">
      <formula>LEN(TRIM(F32))=0</formula>
    </cfRule>
  </conditionalFormatting>
  <conditionalFormatting sqref="G32">
    <cfRule type="expression" priority="47" aboveAverage="0" equalAverage="0" bottom="0" percent="0" rank="0" text="" dxfId="128">
      <formula>LEN(TRIM(G32))=0</formula>
    </cfRule>
  </conditionalFormatting>
  <conditionalFormatting sqref="G32">
    <cfRule type="expression" priority="48" aboveAverage="0" equalAverage="0" bottom="0" percent="0" rank="0" text="" dxfId="129">
      <formula>IF(LEN(G32)-LEN(SUBSTITUTE(G32,".",""))=3,0,1)</formula>
    </cfRule>
  </conditionalFormatting>
  <conditionalFormatting sqref="G29:G32">
    <cfRule type="containsText" priority="49" operator="containsText" aboveAverage="0" equalAverage="0" bottom="0" percent="0" rank="0" text="n/a" dxfId="130">
      <formula>NOT(ISERROR(SEARCH("n/a",G29)))</formula>
    </cfRule>
  </conditionalFormatting>
  <conditionalFormatting sqref="F57:G57 G12 G29:G32 F42:G42 F49:G49">
    <cfRule type="duplicateValues" priority="50" aboveAverage="0" equalAverage="0" bottom="0" percent="0" rank="0" text="" dxfId="131"/>
  </conditionalFormatting>
  <conditionalFormatting sqref="F56:G56 F12 F29:F32">
    <cfRule type="duplicateValues" priority="51" aboveAverage="0" equalAverage="0" bottom="0" percent="0" rank="0" text="" dxfId="132"/>
  </conditionalFormatting>
  <conditionalFormatting sqref="B19">
    <cfRule type="cellIs" priority="52" operator="equal" aboveAverage="0" equalAverage="0" bottom="0" percent="0" rank="0" text="" dxfId="133">
      <formula>"✓"</formula>
    </cfRule>
  </conditionalFormatting>
  <conditionalFormatting sqref="B19">
    <cfRule type="cellIs" priority="53" operator="equal" aboveAverage="0" equalAverage="0" bottom="0" percent="0" rank="0" text="" dxfId="134">
      <formula>"✓"</formula>
    </cfRule>
  </conditionalFormatting>
  <conditionalFormatting sqref="F44:G44 F51:G51 J40:K40">
    <cfRule type="duplicateValues" priority="54" aboveAverage="0" equalAverage="0" bottom="0" percent="0" rank="0" text="" dxfId="135"/>
  </conditionalFormatting>
  <conditionalFormatting sqref="F41:G41">
    <cfRule type="expression" priority="55" aboveAverage="0" equalAverage="0" bottom="0" percent="0" rank="0" text="" dxfId="136">
      <formula>LEN(TRIM(F41))=0</formula>
    </cfRule>
  </conditionalFormatting>
  <conditionalFormatting sqref="F48:G48">
    <cfRule type="containsText" priority="56" operator="containsText" aboveAverage="0" equalAverage="0" bottom="0" percent="0" rank="0" text="n/a" dxfId="137">
      <formula>NOT(ISERROR(SEARCH("n/a",F48)))</formula>
    </cfRule>
    <cfRule type="expression" priority="57" aboveAverage="0" equalAverage="0" bottom="0" percent="0" rank="0" text="" dxfId="138">
      <formula>LEN(TRIM(F48))=0</formula>
    </cfRule>
  </conditionalFormatting>
  <conditionalFormatting sqref="J38:K38">
    <cfRule type="containsText" priority="58" operator="containsText" aboveAverage="0" equalAverage="0" bottom="0" percent="0" rank="0" text="n/a" dxfId="139">
      <formula>NOT(ISERROR(SEARCH("n/a",J38)))</formula>
    </cfRule>
    <cfRule type="expression" priority="59" aboveAverage="0" equalAverage="0" bottom="0" percent="0" rank="0" text="" dxfId="140">
      <formula>LEN(TRIM(J38))=0</formula>
    </cfRule>
  </conditionalFormatting>
  <conditionalFormatting sqref="J41:K41">
    <cfRule type="containsText" priority="60" operator="containsText" aboveAverage="0" equalAverage="0" bottom="0" percent="0" rank="0" text="n/a" dxfId="141">
      <formula>NOT(ISERROR(SEARCH("n/a",J41)))</formula>
    </cfRule>
    <cfRule type="expression" priority="61" aboveAverage="0" equalAverage="0" bottom="0" percent="0" rank="0" text="" dxfId="142">
      <formula>LEN(TRIM(J41))=0</formula>
    </cfRule>
  </conditionalFormatting>
  <conditionalFormatting sqref="F43:G43">
    <cfRule type="expression" priority="62" aboveAverage="0" equalAverage="0" bottom="0" percent="0" rank="0" text="" dxfId="143">
      <formula>IF(LEN(F43)-LEN(SUBSTITUTE(F43,".",""))=3,0,1)</formula>
    </cfRule>
    <cfRule type="expression" priority="63" aboveAverage="0" equalAverage="0" bottom="0" percent="0" rank="0" text="" dxfId="144">
      <formula>LEN(TRIM(F43))=0</formula>
    </cfRule>
  </conditionalFormatting>
  <conditionalFormatting sqref="F43:G43 F50:G50 J37:K37">
    <cfRule type="containsText" priority="64" operator="containsText" aboveAverage="0" equalAverage="0" bottom="0" percent="0" rank="0" text="n/a" dxfId="145">
      <formula>NOT(ISERROR(SEARCH("n/a",F37)))</formula>
    </cfRule>
  </conditionalFormatting>
  <conditionalFormatting sqref="F44:G44 F51:G51 J40:K40">
    <cfRule type="containsText" priority="65" operator="containsText" aboveAverage="0" equalAverage="0" bottom="0" percent="0" rank="0" text="n/a" dxfId="146">
      <formula>NOT(ISERROR(SEARCH("n/a",F40)))</formula>
    </cfRule>
    <cfRule type="expression" priority="66" aboveAverage="0" equalAverage="0" bottom="0" percent="0" rank="0" text="" dxfId="147">
      <formula>LEN(TRIM(F44))=0</formula>
    </cfRule>
  </conditionalFormatting>
  <conditionalFormatting sqref="F50:G50">
    <cfRule type="expression" priority="67" aboveAverage="0" equalAverage="0" bottom="0" percent="0" rank="0" text="" dxfId="148">
      <formula>IF(LEN(F50)-LEN(SUBSTITUTE(F50,".",""))=3,0,1)</formula>
    </cfRule>
    <cfRule type="expression" priority="68" aboveAverage="0" equalAverage="0" bottom="0" percent="0" rank="0" text="" dxfId="149">
      <formula>LEN(TRIM(F50))=0</formula>
    </cfRule>
  </conditionalFormatting>
  <conditionalFormatting sqref="J37:K37">
    <cfRule type="expression" priority="69" aboveAverage="0" equalAverage="0" bottom="0" percent="0" rank="0" text="" dxfId="150">
      <formula>IF(LEN(J37)-LEN(SUBSTITUTE(J37,".",""))=3,0,1)</formula>
    </cfRule>
    <cfRule type="expression" priority="70" aboveAverage="0" equalAverage="0" bottom="0" percent="0" rank="0" text="" dxfId="151">
      <formula>LEN(TRIM(J37))=0</formula>
    </cfRule>
  </conditionalFormatting>
  <conditionalFormatting sqref="J40:K40">
    <cfRule type="expression" priority="71" aboveAverage="0" equalAverage="0" bottom="0" percent="0" rank="0" text="" dxfId="152">
      <formula>IF(LEN(J40)-LEN(SUBSTITUTE(J40,".",""))=3,0,1)</formula>
    </cfRule>
  </conditionalFormatting>
  <conditionalFormatting sqref="F44:G44">
    <cfRule type="expression" priority="72" aboveAverage="0" equalAverage="0" bottom="0" percent="0" rank="0" text="" dxfId="153">
      <formula>IF(LEN(F44)-LEN(SUBSTITUTE(F44,".",""))=3,0,1)</formula>
    </cfRule>
    <cfRule type="containsText" priority="73" operator="containsText" aboveAverage="0" equalAverage="0" bottom="0" percent="0" rank="0" text="n/a" dxfId="154">
      <formula>NOT(ISERROR(SEARCH("n/a",F44)))</formula>
    </cfRule>
  </conditionalFormatting>
  <conditionalFormatting sqref="F51:G51">
    <cfRule type="expression" priority="74" aboveAverage="0" equalAverage="0" bottom="0" percent="0" rank="0" text="" dxfId="155">
      <formula>IF(LEN(F51)-LEN(SUBSTITUTE(F51,".",""))=3,0,1)</formula>
    </cfRule>
  </conditionalFormatting>
  <conditionalFormatting sqref="F43:G43 F50:G50 J37:K37">
    <cfRule type="duplicateValues" priority="75" aboveAverage="0" equalAverage="0" bottom="0" percent="0" rank="0" text="" dxfId="156"/>
  </conditionalFormatting>
  <conditionalFormatting sqref="F42:G42">
    <cfRule type="expression" priority="76" aboveAverage="0" equalAverage="0" bottom="0" percent="0" rank="0" text="" dxfId="157">
      <formula>IF(LEN(F42)-LEN(SUBSTITUTE(F42,".",""))=3,0,1)</formula>
    </cfRule>
    <cfRule type="expression" priority="77" aboveAverage="0" equalAverage="0" bottom="0" percent="0" rank="0" text="" dxfId="158">
      <formula>LEN(TRIM(F42))=0</formula>
    </cfRule>
  </conditionalFormatting>
  <conditionalFormatting sqref="F42:G42">
    <cfRule type="containsText" priority="78" operator="containsText" aboveAverage="0" equalAverage="0" bottom="0" percent="0" rank="0" text="n/a" dxfId="159">
      <formula>NOT(ISERROR(SEARCH("n/a",F42)))</formula>
    </cfRule>
  </conditionalFormatting>
  <conditionalFormatting sqref="F42:G42">
    <cfRule type="duplicateValues" priority="79" aboveAverage="0" equalAverage="0" bottom="0" percent="0" rank="0" text="" dxfId="160"/>
  </conditionalFormatting>
  <conditionalFormatting sqref="F49:G49">
    <cfRule type="containsText" priority="80" operator="containsText" aboveAverage="0" equalAverage="0" bottom="0" percent="0" rank="0" text="n/a" dxfId="161">
      <formula>NOT(ISERROR(SEARCH("n/a",F49)))</formula>
    </cfRule>
  </conditionalFormatting>
  <conditionalFormatting sqref="F49:G49">
    <cfRule type="expression" priority="81" aboveAverage="0" equalAverage="0" bottom="0" percent="0" rank="0" text="" dxfId="162">
      <formula>IF(LEN(F49)-LEN(SUBSTITUTE(F49,".",""))=3,0,1)</formula>
    </cfRule>
    <cfRule type="expression" priority="82" aboveAverage="0" equalAverage="0" bottom="0" percent="0" rank="0" text="" dxfId="163">
      <formula>LEN(TRIM(F49))=0</formula>
    </cfRule>
  </conditionalFormatting>
  <conditionalFormatting sqref="F49:G49">
    <cfRule type="duplicateValues" priority="83" aboveAverage="0" equalAverage="0" bottom="0" percent="0" rank="0" text="" dxfId="164"/>
  </conditionalFormatting>
  <conditionalFormatting sqref="J47">
    <cfRule type="duplicateValues" priority="84" aboveAverage="0" equalAverage="0" bottom="0" percent="0" rank="0" text="" dxfId="165"/>
  </conditionalFormatting>
  <conditionalFormatting sqref="J50">
    <cfRule type="duplicateValues" priority="85" aboveAverage="0" equalAverage="0" bottom="0" percent="0" rank="0" text="" dxfId="166"/>
  </conditionalFormatting>
  <conditionalFormatting sqref="J47">
    <cfRule type="expression" priority="86" aboveAverage="0" equalAverage="0" bottom="0" percent="0" rank="0" text="" dxfId="167">
      <formula>IF(LEN(J47)-LEN(SUBSTITUTE(J47,".",""))=3,0,J47&lt;&gt;n/a)</formula>
    </cfRule>
  </conditionalFormatting>
  <conditionalFormatting sqref="J50">
    <cfRule type="expression" priority="87" aboveAverage="0" equalAverage="0" bottom="0" percent="0" rank="0" text="" dxfId="168">
      <formula>IF(LEN(J50)-LEN(SUBSTITUTE(J50,".",""))=3,0,J50&lt;&gt;n/a)</formula>
    </cfRule>
  </conditionalFormatting>
  <conditionalFormatting sqref="J47">
    <cfRule type="duplicateValues" priority="88" aboveAverage="0" equalAverage="0" bottom="0" percent="0" rank="0" text="" dxfId="169"/>
  </conditionalFormatting>
  <conditionalFormatting sqref="F38:G38">
    <cfRule type="containsText" priority="89" operator="containsText" aboveAverage="0" equalAverage="0" bottom="0" percent="0" rank="0" text="n/a" dxfId="170">
      <formula>NOT(ISERROR(SEARCH("n/a",F38)))</formula>
    </cfRule>
    <cfRule type="expression" priority="90" aboveAverage="0" equalAverage="0" bottom="0" percent="0" rank="0" text="" dxfId="171">
      <formula>LEN(TRIM(F38))=0</formula>
    </cfRule>
  </conditionalFormatting>
  <conditionalFormatting sqref="K44">
    <cfRule type="expression" priority="91" aboveAverage="0" equalAverage="0" bottom="0" percent="0" rank="0" text="" dxfId="172">
      <formula>#ref!=1</formula>
    </cfRule>
  </conditionalFormatting>
  <conditionalFormatting sqref="F53:G53">
    <cfRule type="expression" priority="92" aboveAverage="0" equalAverage="0" bottom="0" percent="0" rank="0" text="" dxfId="173">
      <formula>LEN(TRIM(F53))=0</formula>
    </cfRule>
  </conditionalFormatting>
  <conditionalFormatting sqref="F46:G46">
    <cfRule type="expression" priority="93" aboveAverage="0" equalAverage="0" bottom="0" percent="0" rank="0" text="" dxfId="174">
      <formula>LEN(TRIM(F46))=0</formula>
    </cfRule>
  </conditionalFormatting>
  <conditionalFormatting sqref="F37:G37">
    <cfRule type="containsText" priority="94" operator="containsText" aboveAverage="0" equalAverage="0" bottom="0" percent="0" rank="0" text="n/a" dxfId="175">
      <formula>NOT(ISERROR(SEARCH("n/a",F37)))</formula>
    </cfRule>
    <cfRule type="expression" priority="95" aboveAverage="0" equalAverage="0" bottom="0" percent="0" rank="0" text="" dxfId="176">
      <formula>LEN(TRIM(F37))=0</formula>
    </cfRule>
  </conditionalFormatting>
  <conditionalFormatting sqref="F45:G45">
    <cfRule type="expression" priority="96" aboveAverage="0" equalAverage="0" bottom="0" percent="0" rank="0" text="" dxfId="177">
      <formula>LEN(TRIM(F45))=0</formula>
    </cfRule>
  </conditionalFormatting>
  <conditionalFormatting sqref="F52:G52">
    <cfRule type="expression" priority="97" aboveAverage="0" equalAverage="0" bottom="0" percent="0" rank="0" text="" dxfId="178">
      <formula>LEN(TRIM(F52))=0</formula>
    </cfRule>
  </conditionalFormatting>
  <conditionalFormatting sqref="F52:G53 F45:G46">
    <cfRule type="duplicateValues" priority="98" aboveAverage="0" equalAverage="0" bottom="0" percent="0" rank="0" text="" dxfId="179"/>
  </conditionalFormatting>
  <conditionalFormatting sqref="K45">
    <cfRule type="expression" priority="99" aboveAverage="0" equalAverage="0" bottom="0" percent="0" rank="0" text="" dxfId="180">
      <formula>#ref!=1</formula>
    </cfRule>
  </conditionalFormatting>
  <conditionalFormatting sqref="K48">
    <cfRule type="expression" priority="100" aboveAverage="0" equalAverage="0" bottom="0" percent="0" rank="0" text="" dxfId="181">
      <formula>#ref!=1</formula>
    </cfRule>
  </conditionalFormatting>
  <conditionalFormatting sqref="E36:G53 I36:K42 I44:K50">
    <cfRule type="expression" priority="101" aboveAverage="0" equalAverage="0" bottom="0" percent="0" rank="0" text="" dxfId="182">
      <formula>$K$28="No"</formula>
    </cfRule>
  </conditionalFormatting>
  <conditionalFormatting sqref="I21:J21 I17:K19 I20">
    <cfRule type="expression" priority="102" aboveAverage="0" equalAverage="0" bottom="0" percent="0" rank="0" text="" dxfId="183">
      <formula>$J$16="No"</formula>
    </cfRule>
  </conditionalFormatting>
  <conditionalFormatting sqref="E22:G26">
    <cfRule type="expression" priority="103" aboveAverage="0" equalAverage="0" bottom="0" percent="0" rank="0" text="" dxfId="184">
      <formula>$F$21="Standard"</formula>
    </cfRule>
  </conditionalFormatting>
  <conditionalFormatting sqref="E21">
    <cfRule type="expression" priority="104" aboveAverage="0" equalAverage="0" bottom="0" percent="0" rank="0" text="" dxfId="185">
      <formula>#ref!="Standard"</formula>
    </cfRule>
  </conditionalFormatting>
  <dataValidations count="16">
    <dataValidation allowBlank="true" operator="between" showDropDown="false" showErrorMessage="true" showInputMessage="true" sqref="F19" type="list">
      <formula1>EVC_Settings</formula1>
      <formula2>0</formula2>
    </dataValidation>
    <dataValidation allowBlank="true" error="Please enter a valid IP Address" errorTitle="Invalid IP Address" operator="between" showDropDown="false" showErrorMessage="true" showInputMessage="true" sqref="F6:F7 G12 G29:G32 F57:G57" type="custom">
      <formula1>IF(ISNUMBER(VALUE(SUBSTITUTE(F6,".",""))),AND(--LEFT(F6,FIND(".",F6)-1)&lt;256,--MID(SUBSTITUTE(F6,".",REPT(" ",99)),99,99)&lt;256,--MID(SUBSTITUTE(F6,".",REPT(" ",99)),198,99)&lt;256,--RIGHT(SUBSTITUTE(F6,".",REPT(" ",99)),99)&lt;256),F6="n/a")</formula1>
      <formula2>0</formula2>
    </dataValidation>
    <dataValidation allowBlank="true" operator="between" showDropDown="false" showErrorMessage="true" showInputMessage="true" sqref="F13" type="list">
      <formula1>"tiny,small,medium,large,xlarge"</formula1>
      <formula2>0</formula2>
    </dataValidation>
    <dataValidation allowBlank="true" error="Please enter a valid IP Address" errorTitle="Invalid IP Address" operator="between" showDropDown="false" showErrorMessage="true" showInputMessage="true" sqref="J13" type="list">
      <formula1>"Yes,No"</formula1>
      <formula2>0</formula2>
    </dataValidation>
    <dataValidation allowBlank="true" operator="between" prompt="Configure the following settings to configure a second VCF deployment to an existing SSO Domain" promptTitle="Join System to Exisiting Site" showDropDown="false" showErrorMessage="true" showInputMessage="true" sqref="J16:K16" type="list">
      <formula1>"No,Yes"</formula1>
      <formula2>0</formula2>
    </dataValidation>
    <dataValidation allowBlank="true" operator="between" prompt="Setting value to YES instructs Cloud Builder to enable VMware Customer Experience Improvement Program (&quot;CEIP&quot;) for vCenter Server, vSAN, NSX-v and vRealize Log Insight" promptTitle="CEIP" showDropDown="false" showErrorMessage="true" showInputMessage="true" sqref="K8" type="list">
      <formula1>"Yes,No"</formula1>
      <formula2>0</formula2>
    </dataValidation>
    <dataValidation allowBlank="true" operator="between" prompt="Input value can be either an IP Address (e.g. 172.16.11.253) or an FQDN (e.g. time.vmware.com)" promptTitle="NTP Server" showDropDown="false" showErrorMessage="true" showInputMessage="true" sqref="F8:F9" type="none">
      <formula1>0</formula1>
      <formula2>0</formula2>
    </dataValidation>
    <dataValidation allowBlank="true" operator="between" prompt="In order to re-use Edge Cluster for WCP, provide Edge Size as LARGE" promptTitle="Edge Node Appliance Size" showDropDown="false" showErrorMessage="true" showInputMessage="true" sqref="F39:G39" type="list">
      <formula1>"small,medium,large,xlarge"</formula1>
      <formula2>0</formula2>
    </dataValidation>
    <dataValidation allowBlank="true" error="Please enter a valid IP Address" errorTitle="Invalid IP Address" operator="between" showDropDown="false" showErrorMessage="false" showInputMessage="true" sqref="F58:G58" type="none">
      <formula1>0</formula1>
      <formula2>0</formula2>
    </dataValidation>
    <dataValidation allowBlank="true" operator="between" prompt="The length of the vCenter Server hostname must not exceed 15 characters, this is to accomodate NetBIOS naming and allows for joining the system to an Active Directory Domain." promptTitle="Hostname Length" showDropDown="false" showErrorMessage="true" showInputMessage="true" sqref="F12" type="none">
      <formula1>0</formula1>
      <formula2>0</formula2>
    </dataValidation>
    <dataValidation allowBlank="true" operator="lessThanOrEqual" prompt="NSX-T supports a maximum of 20 characters for the BGP password.&#10;&#10;If the switch infrastructure does not require a password for BGP peering then set this cell to n/a" promptTitle="BGP Password" showDropDown="false" showErrorMessage="true" showInputMessage="true" sqref="J42:K42" type="textLength">
      <formula1>20</formula1>
      <formula2>0</formula2>
    </dataValidation>
    <dataValidation allowBlank="true" operator="between" showDropDown="false" showErrorMessage="true" showInputMessage="true" sqref="K28" type="list">
      <formula1>"Yes,No"</formula1>
      <formula2>0</formula2>
    </dataValidation>
    <dataValidation allowBlank="true" operator="between" showDropDown="false" showErrorMessage="true" showInputMessage="true" sqref="F33" type="list">
      <formula1>"small,medium,large"</formula1>
      <formula2>0</formula2>
    </dataValidation>
    <dataValidation allowBlank="true" operator="between" showDropDown="false" showErrorMessage="true" showInputMessage="true" sqref="F14" type="list">
      <formula1>"default,large,xlarge"</formula1>
      <formula2>0</formula2>
    </dataValidation>
    <dataValidation allowBlank="true" operator="between" showDropDown="false" showErrorMessage="true" showInputMessage="true" sqref="F21:G21" type="list">
      <formula1>"Standard,Consolidated"</formula1>
      <formula2>0</formula2>
    </dataValidation>
    <dataValidation allowBlank="true" operator="lessThanOrEqual" prompt="NSX-T supports a maximum of 20 characters for the BGP password. &#10;&#10;If the switch infrastructure does not require a password for BGP peering then set this cell to n/a" promptTitle="BGP Password" showDropDown="false" showErrorMessage="true" showInputMessage="true" sqref="J39:K39" type="textLength">
      <formula1>20</formula1>
      <formula2>0</formula2>
    </dataValidation>
  </dataValidations>
  <printOptions headings="false" gridLines="false" gridLinesSet="true" horizontalCentered="true" verticalCentered="false"/>
  <pageMargins left="0.5" right="0.5" top="0.5" bottom="0.5" header="0.511805555555555" footer="0.2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&amp;L&amp;8http://www.vertex42.com/ExcelTemplates/spring-cleaning-checklist.html</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2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2" activeCellId="0" sqref="A12"/>
    </sheetView>
  </sheetViews>
  <sheetFormatPr defaultColWidth="11.60546875" defaultRowHeight="15" zeroHeight="false" outlineLevelRow="0" outlineLevelCol="0"/>
  <cols>
    <col collapsed="false" customWidth="true" hidden="false" outlineLevel="0" max="1" min="1" style="0" width="21.17"/>
    <col collapsed="false" customWidth="true" hidden="false" outlineLevel="0" max="3" min="3" style="0" width="86.33"/>
  </cols>
  <sheetData>
    <row r="1" customFormat="false" ht="15" hidden="false" customHeight="false" outlineLevel="0" collapsed="false">
      <c r="A1" s="290" t="s">
        <v>334</v>
      </c>
      <c r="C1" s="290" t="s">
        <v>335</v>
      </c>
    </row>
    <row r="2" customFormat="false" ht="64" hidden="false" customHeight="false" outlineLevel="0" collapsed="false">
      <c r="A2" s="0" t="s">
        <v>154</v>
      </c>
      <c r="C2" s="291" t="str">
        <f aca="false">"vSphere Distributed Switch = One (1)          /          Physical NICs = Two (2) or  Four (4)
Primary vDS - "&amp;'Hosts and Networks'!E17&amp;"
     -  Traffic for Management, vMotion, vSAN, Host Overlay, Edge Overlay and Uplinks - e.g. "&amp;'Hosts and Networks'!E18&amp;""</f>
        <v>vSphere Distributed Switch = One (1)          /          Physical NICs = Two (2) or  Four (4)
Primary vDS - gbb-m01-cl01-vds01
     -  Traffic for Management, vMotion, vSAN, Host Overlay, Edge Overlay and Uplinks - e.g. vmnic0,vmnic1,vmnic2,vmnic3</v>
      </c>
    </row>
    <row r="3" customFormat="false" ht="112" hidden="false" customHeight="false" outlineLevel="0" collapsed="false">
      <c r="A3" s="0" t="s">
        <v>336</v>
      </c>
      <c r="C3" s="291" t="str">
        <f aca="false">"vSphere Distributed Switch = Two (2)          /          Physical NICs = Four (4)
Primary vDS - "&amp;'Hosts and Networks'!E17&amp;"
     - Traffic for Management,  vMotion, vSAN - e.g. "&amp;'Hosts and Networks'!E18&amp;"
Secondary vDS - "&amp;'Hosts and Networks'!E21&amp;"
     - Traffic for Host Overlay, Edge Overlay and Uplinks - e.g."&amp;'Hosts and Networks'!E22</f>
        <v>vSphere Distributed Switch = Two (2)          /          Physical NICs = Four (4)
Primary vDS - gbb-m01-cl01-vds01
     - Traffic for Management,  vMotion, vSAN - e.g. vmnic0,vmnic1,vmnic2,vmnic3
Secondary vDS - n/a
     - Traffic for Host Overlay, Edge Overlay and Uplinks - e.g.vmnic2,vmnic3</v>
      </c>
    </row>
    <row r="4" customFormat="false" ht="112" hidden="false" customHeight="false" outlineLevel="0" collapsed="false">
      <c r="A4" s="0" t="s">
        <v>337</v>
      </c>
      <c r="C4" s="291" t="str">
        <f aca="false">"vSphere Distributed Switch = Two (2)          /          Physical NICs = Four (4)
Primary vDS - "&amp;'Hosts and Networks'!E17&amp;"
     - Traffic for Management,  vMotion, Host Overlay, Edge Overlay and Uplinks - e.g. "&amp;'Hosts and Networks'!E18&amp;"
Secondary vDS - "&amp;'Hosts and Networks'!E21&amp;"
     - Traffic for vSAN - e.g."&amp;'Hosts and Networks'!E22</f>
        <v>vSphere Distributed Switch = Two (2)          /          Physical NICs = Four (4)
Primary vDS - gbb-m01-cl01-vds01
     - Traffic for Management,  vMotion, Host Overlay, Edge Overlay and Uplinks - e.g. vmnic0,vmnic1,vmnic2,vmnic3
Secondary vDS - n/a
     - Traffic for vSAN - e.g.vmnic2,vmnic3</v>
      </c>
    </row>
    <row r="5" customFormat="false" ht="15" hidden="false" customHeight="false" outlineLevel="0" collapsed="false">
      <c r="A5" s="0" t="s">
        <v>338</v>
      </c>
      <c r="C5" s="291"/>
    </row>
    <row r="6" customFormat="false" ht="15" hidden="false" customHeight="false" outlineLevel="0" collapsed="false">
      <c r="A6" s="0" t="s">
        <v>339</v>
      </c>
      <c r="C6" s="291"/>
    </row>
    <row r="7" customFormat="false" ht="15" hidden="false" customHeight="false" outlineLevel="0" collapsed="false">
      <c r="A7" s="0" t="s">
        <v>340</v>
      </c>
    </row>
    <row r="8" customFormat="false" ht="15" hidden="false" customHeight="false" outlineLevel="0" collapsed="false">
      <c r="A8" s="0" t="s">
        <v>341</v>
      </c>
    </row>
    <row r="9" customFormat="false" ht="15" hidden="false" customHeight="false" outlineLevel="0" collapsed="false">
      <c r="A9" s="0" t="s">
        <v>342</v>
      </c>
    </row>
    <row r="10" customFormat="false" ht="15" hidden="false" customHeight="false" outlineLevel="0" collapsed="false">
      <c r="A10" s="0" t="s">
        <v>343</v>
      </c>
    </row>
    <row r="11" customFormat="false" ht="15" hidden="false" customHeight="false" outlineLevel="0" collapsed="false">
      <c r="A11" s="0" t="s">
        <v>344</v>
      </c>
    </row>
    <row r="12" customFormat="false" ht="15" hidden="false" customHeight="false" outlineLevel="0" collapsed="false">
      <c r="A12" s="0" t="s">
        <v>345</v>
      </c>
    </row>
    <row r="13" customFormat="false" ht="15" hidden="false" customHeight="false" outlineLevel="0" collapsed="false">
      <c r="A13" s="0" t="s">
        <v>346</v>
      </c>
    </row>
    <row r="14" customFormat="false" ht="15" hidden="false" customHeight="false" outlineLevel="0" collapsed="false">
      <c r="A14" s="0" t="s">
        <v>347</v>
      </c>
    </row>
    <row r="15" customFormat="false" ht="15" hidden="false" customHeight="false" outlineLevel="0" collapsed="false">
      <c r="A15" s="0" t="s">
        <v>348</v>
      </c>
    </row>
    <row r="16" customFormat="false" ht="15" hidden="false" customHeight="false" outlineLevel="0" collapsed="false">
      <c r="A16" s="0" t="s">
        <v>349</v>
      </c>
    </row>
    <row r="17" customFormat="false" ht="15" hidden="false" customHeight="false" outlineLevel="0" collapsed="false">
      <c r="A17" s="0" t="s">
        <v>350</v>
      </c>
    </row>
    <row r="18" customFormat="false" ht="15" hidden="false" customHeight="false" outlineLevel="0" collapsed="false">
      <c r="A18" s="0" t="s">
        <v>351</v>
      </c>
    </row>
    <row r="19" customFormat="false" ht="15" hidden="false" customHeight="false" outlineLevel="0" collapsed="false">
      <c r="A19" s="0" t="s">
        <v>352</v>
      </c>
    </row>
    <row r="20" customFormat="false" ht="15" hidden="false" customHeight="false" outlineLevel="0" collapsed="false">
      <c r="A20" s="0" t="s">
        <v>353</v>
      </c>
    </row>
  </sheetData>
  <sheetProtection sheet="true" objects="true" scenarios="true"/>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258"/>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A49" activeCellId="0" sqref="A49"/>
    </sheetView>
  </sheetViews>
  <sheetFormatPr defaultColWidth="8.83984375" defaultRowHeight="15" zeroHeight="false" outlineLevelRow="0" outlineLevelCol="0"/>
  <cols>
    <col collapsed="false" customWidth="true" hidden="false" outlineLevel="0" max="1" min="1" style="292" width="120.85"/>
    <col collapsed="false" customWidth="true" hidden="false" outlineLevel="0" max="2" min="2" style="292" width="78.84"/>
    <col collapsed="false" customWidth="false" hidden="false" outlineLevel="0" max="1024" min="3" style="292" width="8.83"/>
  </cols>
  <sheetData>
    <row r="1" customFormat="false" ht="15" hidden="false" customHeight="false" outlineLevel="0" collapsed="false">
      <c r="A1" s="292" t="s">
        <v>354</v>
      </c>
    </row>
    <row r="2" customFormat="false" ht="15" hidden="false" customHeight="false" outlineLevel="0" collapsed="false">
      <c r="A2" s="293" t="str">
        <f aca="false">"workflowName.vcf-ems=workflowconfig/workflowspec-ems.json"</f>
        <v>workflowName.vcf-ems=workflowconfig/workflowspec-ems.json</v>
      </c>
      <c r="B2" s="292" t="s">
        <v>355</v>
      </c>
    </row>
    <row r="3" customFormat="false" ht="15" hidden="false" customHeight="false" outlineLevel="0" collapsed="false">
      <c r="A3" s="293" t="str">
        <f aca="false">(IF('Deploy Parameters'!K8="Yes","CeipEnabled=true","CeipEnabled=false"))</f>
        <v>CeipEnabled=true</v>
      </c>
      <c r="B3" s="292" t="s">
        <v>356</v>
      </c>
    </row>
    <row r="4" customFormat="false" ht="15" hidden="false" customHeight="false" outlineLevel="0" collapsed="false">
      <c r="A4" s="293" t="str">
        <f aca="false">"FipsEnabled=false"</f>
        <v>FipsEnabled=false</v>
      </c>
      <c r="B4" s="292" t="s">
        <v>357</v>
      </c>
    </row>
    <row r="5" customFormat="false" ht="15" hidden="false" customHeight="false" outlineLevel="0" collapsed="false">
      <c r="A5" s="293" t="str">
        <f aca="false">"workflowVersion.vcf-ems="&amp;RIGHT('Prerequisite Checklist'!G3,5)</f>
        <v>workflowVersion.vcf-ems=4.2.0</v>
      </c>
      <c r="B5" s="292" t="s">
        <v>358</v>
      </c>
    </row>
    <row r="7" s="294" customFormat="true" ht="15" hidden="false" customHeight="false" outlineLevel="0" collapsed="false">
      <c r="A7" s="294" t="s">
        <v>359</v>
      </c>
    </row>
    <row r="8" s="294" customFormat="true" ht="15" hidden="false" customHeight="false" outlineLevel="0" collapsed="false">
      <c r="A8" s="294" t="s">
        <v>360</v>
      </c>
    </row>
    <row r="9" customFormat="false" ht="15" hidden="false" customHeight="false" outlineLevel="0" collapsed="false">
      <c r="A9" s="293" t="str">
        <f aca="false">IF('Deploy Parameters'!F8="n/a","ntp-server@address=","ntp-server@address="&amp;'Deploy Parameters'!F8)</f>
        <v>ntp-server@address=10.1.1.2</v>
      </c>
      <c r="B9" s="292" t="s">
        <v>361</v>
      </c>
    </row>
    <row r="10" customFormat="false" ht="15" hidden="false" customHeight="false" outlineLevel="0" collapsed="false">
      <c r="A10" s="293" t="str">
        <f aca="false">IF('Deploy Parameters'!F9="n/a","remote-site-ntp-server@address=","remote-site-ntp-server@address="&amp;'Deploy Parameters'!F9)</f>
        <v>remote-site-ntp-server@address=</v>
      </c>
      <c r="B10" s="292" t="s">
        <v>361</v>
      </c>
    </row>
    <row r="11" customFormat="false" ht="15" hidden="false" customHeight="false" outlineLevel="0" collapsed="false">
      <c r="A11" s="292" t="s">
        <v>362</v>
      </c>
    </row>
    <row r="12" customFormat="false" ht="15" hidden="false" customHeight="false" outlineLevel="0" collapsed="false">
      <c r="A12" s="293" t="e">
        <f aca="false">IF('Deploy Parameters'!J7="child","root-dns-records@zoneName="&amp;'deploy parameters'!#ref!,"root-dns-records@zoneName="&amp;'Deploy Parameters'!J6)</f>
        <v>#VALUE!</v>
      </c>
      <c r="B12" s="292" t="s">
        <v>363</v>
      </c>
    </row>
    <row r="13" customFormat="false" ht="15" hidden="false" customHeight="false" outlineLevel="0" collapsed="false">
      <c r="A13" s="293" t="str">
        <f aca="false">"managementNetwork.primaryDns="&amp;'Deploy Parameters'!F6</f>
        <v>managementNetwork.primaryDns=10.1.1.2</v>
      </c>
      <c r="B13" s="292" t="s">
        <v>364</v>
      </c>
    </row>
    <row r="14" customFormat="false" ht="15" hidden="false" customHeight="false" outlineLevel="0" collapsed="false">
      <c r="A14" s="293" t="str">
        <f aca="false">IF('Deploy Parameters'!J6="n/a","local-dns-records@zoneName="&amp;'Deploy Parameters'!J6,"local-dns-records@zoneName="&amp;'Deploy Parameters'!J6)</f>
        <v>local-dns-records@zoneName=vcfrnd.com</v>
      </c>
      <c r="B14" s="292" t="s">
        <v>365</v>
      </c>
    </row>
    <row r="15" customFormat="false" ht="15" hidden="false" customHeight="false" outlineLevel="0" collapsed="false">
      <c r="A15" s="293" t="str">
        <f aca="false">IF('Deploy Parameters'!F7="n/a","managementNetwork.secondaryDns=","managementNetwork.secondaryDns="&amp;'Deploy Parameters'!F7)</f>
        <v>managementNetwork.secondaryDns=</v>
      </c>
      <c r="B15" s="292" t="s">
        <v>366</v>
      </c>
    </row>
    <row r="16" customFormat="false" ht="15" hidden="false" customHeight="false" outlineLevel="0" collapsed="false">
      <c r="A16" s="295"/>
    </row>
    <row r="17" customFormat="false" ht="15" hidden="false" customHeight="false" outlineLevel="0" collapsed="false">
      <c r="A17" s="292" t="s">
        <v>367</v>
      </c>
    </row>
    <row r="18" s="294" customFormat="true" ht="15" hidden="false" customHeight="false" outlineLevel="0" collapsed="false">
      <c r="A18" s="296" t="str">
        <f aca="false">IF('Management Workloads'!L15="n/a","sddc-manager-license@key=","sddc-manager-license@key="&amp;'Management Workloads'!L15)</f>
        <v>sddc-manager-license@key=</v>
      </c>
    </row>
    <row r="19" customFormat="false" ht="15" hidden="false" customHeight="false" outlineLevel="0" collapsed="false">
      <c r="A19" s="293" t="str">
        <f aca="false">"sddc-manager-root-credentials="&amp;'Users and Groups'!C15</f>
        <v>sddc-manager-root-credentials=</v>
      </c>
      <c r="B19" s="292" t="s">
        <v>368</v>
      </c>
    </row>
    <row r="20" customFormat="false" ht="15" hidden="false" customHeight="false" outlineLevel="0" collapsed="false">
      <c r="A20" s="293" t="str">
        <f aca="false">"sddc-manager-superuser-credentials="&amp;'Users and Groups'!C16</f>
        <v>sddc-manager-superuser-credentials=</v>
      </c>
      <c r="B20" s="292" t="s">
        <v>369</v>
      </c>
    </row>
    <row r="21" customFormat="false" ht="15" hidden="false" customHeight="false" outlineLevel="0" collapsed="false">
      <c r="A21" s="293" t="str">
        <f aca="false">"sddc-manager-localUser-credentials="&amp;'Users and Groups'!C17</f>
        <v>sddc-manager-localUser-credentials=</v>
      </c>
      <c r="B21" s="292" t="s">
        <v>370</v>
      </c>
    </row>
    <row r="22" customFormat="false" ht="15" hidden="false" customHeight="false" outlineLevel="0" collapsed="false">
      <c r="A22" s="293" t="str">
        <f aca="false">"sddc-manager-restapi-user-credentials="&amp;'Users and Groups'!C18</f>
        <v>sddc-manager-restapi-user-credentials=</v>
      </c>
      <c r="B22" s="294" t="s">
        <v>371</v>
      </c>
    </row>
    <row r="23" customFormat="false" ht="15" hidden="false" customHeight="false" outlineLevel="0" collapsed="false">
      <c r="A23" s="293" t="str">
        <f aca="false">"sddcManagerIp.Address="&amp;'Deploy Parameters'!F57</f>
        <v>sddcManagerIp.Address=10.1.1.8</v>
      </c>
      <c r="B23" s="292" t="s">
        <v>372</v>
      </c>
    </row>
    <row r="24" customFormat="false" ht="15" hidden="false" customHeight="false" outlineLevel="0" collapsed="false">
      <c r="A24" s="293" t="str">
        <f aca="false">"sddcManager-deployment-vmname="&amp;'Deploy Parameters'!F56</f>
        <v>sddcManager-deployment-vmname=gbb-vcf01</v>
      </c>
      <c r="B24" s="292" t="s">
        <v>373</v>
      </c>
    </row>
    <row r="25" customFormat="false" ht="15" hidden="false" customHeight="false" outlineLevel="0" collapsed="false">
      <c r="A25" s="293" t="str">
        <f aca="false">"sddcManager-HostPoolName="&amp;'Deploy Parameters'!F58</f>
        <v>sddcManager-HostPoolName=gbb-m01-np01</v>
      </c>
      <c r="B25" s="292" t="s">
        <v>374</v>
      </c>
    </row>
    <row r="26" customFormat="false" ht="15" hidden="false" customHeight="false" outlineLevel="0" collapsed="false">
      <c r="A26" s="293" t="str">
        <f aca="false">IF('Deploy Parameters'!F60="n/a","sddcManager-mgmt-domainName=","sddcManager-mgmt-domainName="&amp;'Deploy Parameters'!F60)</f>
        <v>sddcManager-mgmt-domainName=gbb-m01</v>
      </c>
    </row>
    <row r="28" customFormat="false" ht="15" hidden="false" customHeight="false" outlineLevel="0" collapsed="false">
      <c r="A28" s="292" t="s">
        <v>375</v>
      </c>
    </row>
    <row r="29" customFormat="false" ht="15" hidden="false" customHeight="false" outlineLevel="0" collapsed="false">
      <c r="A29" s="293" t="str">
        <f aca="false">IF('Management Workloads'!L8="n/a","mgmt-vcenter-6-license@key=","mgmt-vcenter-6-license@key="&amp;'Management Workloads'!L8)</f>
        <v>mgmt-vcenter-6-license@key=</v>
      </c>
      <c r="B29" s="292" t="s">
        <v>376</v>
      </c>
    </row>
    <row r="30" customFormat="false" ht="15" hidden="false" customHeight="false" outlineLevel="0" collapsed="false">
      <c r="A30" s="293" t="str">
        <f aca="false">"vcenter-root-credentials@password="&amp;'Users and Groups'!C9</f>
        <v>vcenter-root-credentials@password=</v>
      </c>
      <c r="B30" s="292" t="s">
        <v>377</v>
      </c>
    </row>
    <row r="31" customFormat="false" ht="15" hidden="false" customHeight="false" outlineLevel="0" collapsed="false">
      <c r="A31" s="293" t="str">
        <f aca="false">"vcenterManagementIp.address="&amp;'Deploy Parameters'!G12</f>
        <v>vcenterManagementIp.address=10.1.1.3</v>
      </c>
      <c r="B31" s="292" t="s">
        <v>378</v>
      </c>
    </row>
    <row r="32" customFormat="false" ht="15" hidden="false" customHeight="false" outlineLevel="0" collapsed="false">
      <c r="A32" s="293" t="str">
        <f aca="false">"vcenter-mgmt-deployment-vmname="&amp;'Deploy Parameters'!F12</f>
        <v>vcenter-mgmt-deployment-vmname=gbb-m01-vc01</v>
      </c>
      <c r="B32" s="292" t="s">
        <v>379</v>
      </c>
    </row>
    <row r="33" customFormat="false" ht="15" hidden="false" customHeight="false" outlineLevel="0" collapsed="false">
      <c r="A33" s="297" t="str">
        <f aca="false">"vcenter-mgmt-deployment@deploymentModel="&amp;'Deploy Parameters'!F13</f>
        <v>vcenter-mgmt-deployment@deploymentModel=tiny</v>
      </c>
      <c r="B33" s="292" t="s">
        <v>380</v>
      </c>
    </row>
    <row r="34" customFormat="false" ht="15" hidden="false" customHeight="false" outlineLevel="0" collapsed="false">
      <c r="A34" s="297" t="str">
        <f aca="false">IF('Deploy Parameters'!F14="default","vcenter-mgmt-deployment-storageSize=",IF('Deploy Parameters'!F14="large","vcenter-mgmt-deployment-storageSize=lstorage",IF('Deploy Parameters'!F14="xlarge","vcenter-mgmt-deployment-storageSize=xlstorage","vcenter-mgmt-deployment-storageSize=")))</f>
        <v>vcenter-mgmt-deployment-storageSize=</v>
      </c>
    </row>
    <row r="35" customFormat="false" ht="15" hidden="false" customHeight="false" outlineLevel="0" collapsed="false">
      <c r="A35" s="292" t="s">
        <v>381</v>
      </c>
    </row>
    <row r="36" customFormat="false" ht="15" hidden="false" customHeight="false" outlineLevel="0" collapsed="false">
      <c r="A36" s="293" t="str">
        <f aca="false">"vcenter-admin-credentials@password="&amp;'Users and Groups'!C8</f>
        <v>vcenter-admin-credentials@password=</v>
      </c>
      <c r="B36" s="292" t="s">
        <v>382</v>
      </c>
    </row>
    <row r="37" customFormat="false" ht="15" hidden="false" customHeight="false" outlineLevel="0" collapsed="false">
      <c r="A37" s="297" t="str">
        <f aca="false">IF('Deploy Parameters'!F60="n/a","sso-site-name@value=","sso-site-name@value="&amp;'Deploy Parameters'!F60)</f>
        <v>sso-site-name@value=gbb-m01</v>
      </c>
      <c r="B37" s="292" t="s">
        <v>383</v>
      </c>
    </row>
    <row r="38" customFormat="false" ht="15" hidden="false" customHeight="false" outlineLevel="0" collapsed="false">
      <c r="A38" s="292" t="s">
        <v>384</v>
      </c>
    </row>
    <row r="39" customFormat="false" ht="15" hidden="false" customHeight="false" outlineLevel="0" collapsed="false">
      <c r="A39" s="298" t="str">
        <f aca="false">"vlcm-enable-cluster=false"</f>
        <v>vlcm-enable-cluster=false</v>
      </c>
    </row>
    <row r="40" customFormat="false" ht="15" hidden="false" customHeight="false" outlineLevel="0" collapsed="false">
      <c r="A40" s="298" t="str">
        <f aca="false">"vlcm-image-file="</f>
        <v>vlcm-image-file=</v>
      </c>
      <c r="B40" s="292" t="s">
        <v>385</v>
      </c>
    </row>
    <row r="41" customFormat="false" ht="15" hidden="false" customHeight="false" outlineLevel="0" collapsed="false">
      <c r="A41" s="295"/>
    </row>
    <row r="42" customFormat="false" ht="15" hidden="false" customHeight="false" outlineLevel="0" collapsed="false">
      <c r="A42" s="292" t="s">
        <v>386</v>
      </c>
    </row>
    <row r="43" customFormat="false" ht="15" hidden="false" customHeight="false" outlineLevel="0" collapsed="false">
      <c r="A43" s="292" t="s">
        <v>387</v>
      </c>
    </row>
    <row r="44" customFormat="false" ht="15" hidden="false" customHeight="false" outlineLevel="0" collapsed="false">
      <c r="A44" s="293" t="str">
        <f aca="false">"region-a-sso-join="&amp;'Deploy Parameters'!J16</f>
        <v>region-a-sso-join=No</v>
      </c>
    </row>
    <row r="45" customFormat="false" ht="15" hidden="false" customHeight="false" outlineLevel="0" collapsed="false">
      <c r="A45" s="293" t="str">
        <f aca="false">IF('Deploy Parameters'!J16="No","region-a-psc-mgmt.address=","region-a-psc-mgmt.address="&amp;'Deploy Parameters'!J17)</f>
        <v>region-a-psc-mgmt.address=</v>
      </c>
      <c r="B45" s="292" t="s">
        <v>388</v>
      </c>
    </row>
    <row r="46" customFormat="false" ht="15" hidden="false" customHeight="false" outlineLevel="0" collapsed="false">
      <c r="A46" s="293" t="str">
        <f aca="false">IF('Deploy Parameters'!J16="No","region-a-vc-psc-username=","region-a-vc-psc-username="&amp;'Deploy Parameters'!J18)</f>
        <v>region-a-vc-psc-username=</v>
      </c>
      <c r="B46" s="292" t="s">
        <v>389</v>
      </c>
    </row>
    <row r="47" customFormat="false" ht="15" hidden="false" customHeight="false" outlineLevel="0" collapsed="false">
      <c r="A47" s="293" t="str">
        <f aca="false">IF('Deploy Parameters'!J16="No","region-a-vc-psc-password=","region-a-vc-psc-password="&amp;'Deploy Parameters'!J19)</f>
        <v>region-a-vc-psc-password=</v>
      </c>
      <c r="B47" s="292" t="s">
        <v>390</v>
      </c>
    </row>
    <row r="48" customFormat="false" ht="15" hidden="false" customHeight="false" outlineLevel="0" collapsed="false">
      <c r="A48" s="293" t="str">
        <f aca="false">IF('Deploy Parameters'!J16="No","region-a-vc-psc-sslThumbprint=","region-a-vc-psc-sslThumbprint="&amp;'Deploy Parameters'!I21)</f>
        <v>region-a-vc-psc-sslThumbprint=</v>
      </c>
      <c r="B48" s="292" t="s">
        <v>391</v>
      </c>
    </row>
    <row r="50" s="294" customFormat="true" ht="15" hidden="false" customHeight="false" outlineLevel="0" collapsed="false">
      <c r="A50" s="294" t="s">
        <v>392</v>
      </c>
    </row>
    <row r="51" s="294" customFormat="true" ht="15" hidden="false" customHeight="false" outlineLevel="0" collapsed="false">
      <c r="A51" s="296" t="str">
        <f aca="false">IF('Management Workloads'!L7="n/a","vsan-license@key=","vsan-license@key="&amp;'Management Workloads'!L7)</f>
        <v>vsan-license@key=</v>
      </c>
      <c r="B51" s="294" t="s">
        <v>393</v>
      </c>
    </row>
    <row r="52" customFormat="false" ht="15" hidden="false" customHeight="false" outlineLevel="0" collapsed="false">
      <c r="A52" s="297" t="str">
        <f aca="false">IF('Deploy Parameters'!J12="n/a","management-vsan-datastore-name@value=","management-vsan-datastore-name@value="&amp;'Deploy Parameters'!J12)</f>
        <v>management-vsan-datastore-name@value=gbb-m01-cl01-ds-vsan01</v>
      </c>
      <c r="B52" s="292" t="s">
        <v>394</v>
      </c>
    </row>
    <row r="53" customFormat="false" ht="15" hidden="false" customHeight="false" outlineLevel="0" collapsed="false">
      <c r="A53" s="298" t="str">
        <f aca="false">IF('Deploy Parameters'!J13="Yes","enableVsanDeduplication=true",IF('Deploy Parameters'!J13="No","enableVsanDeduplication=false"))</f>
        <v>enableVsanDeduplication=false</v>
      </c>
      <c r="B53" s="292" t="s">
        <v>395</v>
      </c>
    </row>
    <row r="55" customFormat="false" ht="15" hidden="false" customHeight="false" outlineLevel="0" collapsed="false">
      <c r="A55" s="292" t="s">
        <v>396</v>
      </c>
    </row>
    <row r="56" s="294" customFormat="true" ht="15" hidden="false" customHeight="false" outlineLevel="0" collapsed="false">
      <c r="A56" s="294" t="s">
        <v>397</v>
      </c>
    </row>
    <row r="57" s="294" customFormat="true" ht="15" hidden="false" customHeight="false" outlineLevel="0" collapsed="false">
      <c r="A57" s="296" t="str">
        <f aca="false">"cloud-subscription-license@key="</f>
        <v>cloud-subscription-license@key=</v>
      </c>
    </row>
    <row r="58" s="294" customFormat="true" ht="15" hidden="false" customHeight="false" outlineLevel="0" collapsed="false">
      <c r="A58" s="294" t="s">
        <v>398</v>
      </c>
    </row>
    <row r="59" s="294" customFormat="true" ht="15" hidden="false" customHeight="false" outlineLevel="0" collapsed="false">
      <c r="A59" s="296" t="str">
        <f aca="false">IF('Management Workloads'!L6="n/a","vcloud-suite-license@key=","vcloud-suite-license@key="&amp;'Management Workloads'!L6)</f>
        <v>vcloud-suite-license@key=</v>
      </c>
      <c r="B59" s="294" t="s">
        <v>399</v>
      </c>
    </row>
    <row r="60" customFormat="false" ht="15" hidden="false" customHeight="false" outlineLevel="0" collapsed="false">
      <c r="A60" s="292" t="s">
        <v>400</v>
      </c>
    </row>
    <row r="61" customFormat="false" ht="15" hidden="false" customHeight="false" outlineLevel="0" collapsed="false">
      <c r="A61" s="293" t="str">
        <f aca="false">"esxi.username="&amp;'Users and Groups'!B7</f>
        <v>esxi.username=root</v>
      </c>
      <c r="B61" s="292" t="s">
        <v>401</v>
      </c>
    </row>
    <row r="62" customFormat="false" ht="15" hidden="false" customHeight="false" outlineLevel="0" collapsed="false">
      <c r="A62" s="293" t="str">
        <f aca="false">"esxi.password="&amp;'Users and Groups'!C7</f>
        <v>esxi.password=</v>
      </c>
      <c r="B62" s="292" t="s">
        <v>402</v>
      </c>
    </row>
    <row r="63" customFormat="false" ht="15" hidden="false" customHeight="false" outlineLevel="0" collapsed="false">
      <c r="A63" s="292" t="s">
        <v>403</v>
      </c>
    </row>
    <row r="64" customFormat="false" ht="15" hidden="false" customHeight="false" outlineLevel="0" collapsed="false">
      <c r="A64" s="299" t="str">
        <f aca="false">IF('Hosts and Networks'!E15="n/a","management-hosts-vss-name@value=","management-hosts-vss-name@value="&amp;'Hosts and Networks'!E15)</f>
        <v>management-hosts-vss-name@value=vSwitch0</v>
      </c>
      <c r="B64" s="292" t="s">
        <v>404</v>
      </c>
    </row>
    <row r="65" customFormat="false" ht="15" hidden="false" customHeight="false" outlineLevel="0" collapsed="false">
      <c r="A65" s="292" t="s">
        <v>405</v>
      </c>
    </row>
    <row r="66" customFormat="false" ht="15" hidden="false" customHeight="false" outlineLevel="0" collapsed="false">
      <c r="A66" s="293" t="str">
        <f aca="false">IF('Hosts and Networks'!I7="n/a","esxi.mgmt-1.address=","esxi.mgmt-1.address="&amp;'Hosts and Networks'!I7)</f>
        <v>esxi.mgmt-1.address=10.1.1.11</v>
      </c>
      <c r="B66" s="292" t="s">
        <v>406</v>
      </c>
    </row>
    <row r="67" customFormat="false" ht="15" hidden="false" customHeight="false" outlineLevel="0" collapsed="false">
      <c r="A67" s="293" t="str">
        <f aca="false">IF('Hosts and Networks'!I6="n/a","esxi.mgmt-1.hostname=","esxi.mgmt-1.hostname="&amp;'Hosts and Networks'!I6)</f>
        <v>esxi.mgmt-1.hostname=gbb01-m01-esx01</v>
      </c>
      <c r="B67" s="292" t="s">
        <v>407</v>
      </c>
    </row>
    <row r="68" customFormat="false" ht="15" hidden="false" customHeight="false" outlineLevel="0" collapsed="false">
      <c r="A68" s="293" t="str">
        <f aca="false">IF('Hosts and Networks'!J7="n/a","esxi.mgmt-2.address=","esxi.mgmt-2.address="&amp;'Hosts and Networks'!J7)</f>
        <v>esxi.mgmt-2.address=10.1.1.12</v>
      </c>
      <c r="B68" s="292" t="s">
        <v>406</v>
      </c>
    </row>
    <row r="69" customFormat="false" ht="15" hidden="false" customHeight="false" outlineLevel="0" collapsed="false">
      <c r="A69" s="293" t="str">
        <f aca="false">IF('Hosts and Networks'!J6="n/a","esxi.mgmt-2.hostname=","esxi.mgmt-2.hostname="&amp;'Hosts and Networks'!J6)</f>
        <v>esxi.mgmt-2.hostname=gbb01-m01-esx02</v>
      </c>
      <c r="B69" s="292" t="s">
        <v>407</v>
      </c>
    </row>
    <row r="70" customFormat="false" ht="15" hidden="false" customHeight="false" outlineLevel="0" collapsed="false">
      <c r="A70" s="293" t="str">
        <f aca="false">IF('Hosts and Networks'!K7="n/a","esxi.mgmt-3.address=","esxi.mgmt-3.address="&amp;'Hosts and Networks'!K7)</f>
        <v>esxi.mgmt-3.address=10.1.1.13</v>
      </c>
      <c r="B70" s="292" t="s">
        <v>406</v>
      </c>
    </row>
    <row r="71" customFormat="false" ht="15" hidden="false" customHeight="false" outlineLevel="0" collapsed="false">
      <c r="A71" s="293" t="str">
        <f aca="false">IF('Hosts and Networks'!K6="n/a","esxi.mgmt-3.hostname=","esxi.mgmt-3.hostname="&amp;'Hosts and Networks'!K6)</f>
        <v>esxi.mgmt-3.hostname=gbb01-m01-esx03</v>
      </c>
      <c r="B71" s="292" t="s">
        <v>407</v>
      </c>
    </row>
    <row r="72" customFormat="false" ht="15" hidden="false" customHeight="false" outlineLevel="0" collapsed="false">
      <c r="A72" s="293" t="str">
        <f aca="false">IF('Hosts and Networks'!L7="n/a","esxi.mgmt-4.address=","esxi.mgmt-4.address="&amp;'Hosts and Networks'!L7)</f>
        <v>esxi.mgmt-4.address=10.1.1.14</v>
      </c>
      <c r="B72" s="292" t="s">
        <v>406</v>
      </c>
    </row>
    <row r="73" customFormat="false" ht="15" hidden="false" customHeight="false" outlineLevel="0" collapsed="false">
      <c r="A73" s="293" t="str">
        <f aca="false">IF('Hosts and Networks'!L6="n/a","esxi.mgmt-4.hostname=","esxi.mgmt-4.hostname="&amp;'Hosts and Networks'!L6)</f>
        <v>esxi.mgmt-4.hostname=gbb01-m01-esx04</v>
      </c>
      <c r="B73" s="292" t="s">
        <v>407</v>
      </c>
    </row>
    <row r="74" customFormat="false" ht="15" hidden="false" customHeight="false" outlineLevel="0" collapsed="false">
      <c r="A74" s="292" t="s">
        <v>408</v>
      </c>
    </row>
    <row r="75" customFormat="false" ht="15" hidden="false" customHeight="false" outlineLevel="0" collapsed="false">
      <c r="A75" s="293" t="str">
        <f aca="false">IF('Hosts and Networks'!K11="Yes","skipThumbprintValidation=false",IF('Hosts and Networks'!K11="No","skipThumbprintValidation=true"))</f>
        <v>skipThumbprintValidation=true</v>
      </c>
      <c r="B75" s="292" t="s">
        <v>409</v>
      </c>
    </row>
    <row r="76" customFormat="false" ht="15" hidden="false" customHeight="false" outlineLevel="0" collapsed="false">
      <c r="A76" s="292" t="s">
        <v>410</v>
      </c>
    </row>
    <row r="77" customFormat="false" ht="15" hidden="false" customHeight="false" outlineLevel="0" collapsed="false">
      <c r="A77" s="293" t="str">
        <f aca="false">IF('Hosts and Networks'!J14="n/a","esxi.mgmt-1.sshThumbprint=","esxi.mgmt-1.sshThumbprint="&amp;'Hosts and Networks'!J14)</f>
        <v>esxi.mgmt-1.sshThumbprint=</v>
      </c>
    </row>
    <row r="78" customFormat="false" ht="15" hidden="false" customHeight="false" outlineLevel="0" collapsed="false">
      <c r="A78" s="293" t="str">
        <f aca="false">IF('Hosts and Networks'!J15="n/a","esxi.mgmt-2.sshThumbprint=","esxi.mgmt-2.sshThumbprint="&amp;'Hosts and Networks'!J15)</f>
        <v>esxi.mgmt-2.sshThumbprint=</v>
      </c>
    </row>
    <row r="79" customFormat="false" ht="15" hidden="false" customHeight="false" outlineLevel="0" collapsed="false">
      <c r="A79" s="293" t="str">
        <f aca="false">IF('Hosts and Networks'!J16="n/a","esxi.mgmt-3.sshThumbprint=","esxi.mgmt-3.sshThumbprint="&amp;'Hosts and Networks'!J16)</f>
        <v>esxi.mgmt-3.sshThumbprint=</v>
      </c>
    </row>
    <row r="80" customFormat="false" ht="15" hidden="false" customHeight="false" outlineLevel="0" collapsed="false">
      <c r="A80" s="293" t="str">
        <f aca="false">IF('Hosts and Networks'!J17="n/a","esxi.mgmt-4.sshThumbprint=","esxi.mgmt-4.sshThumbprint="&amp;'Hosts and Networks'!J17)</f>
        <v>esxi.mgmt-4.sshThumbprint=</v>
      </c>
    </row>
    <row r="81" customFormat="false" ht="15" hidden="false" customHeight="false" outlineLevel="0" collapsed="false">
      <c r="A81" s="292" t="s">
        <v>411</v>
      </c>
    </row>
    <row r="82" customFormat="false" ht="15" hidden="false" customHeight="false" outlineLevel="0" collapsed="false">
      <c r="A82" s="293" t="str">
        <f aca="false">IF('Hosts and Networks'!L14="n/a","esxi.mgmt-1.sslThumbprint=","esxi.mgmt-1.sslThumbprint="&amp;'Hosts and Networks'!L14)</f>
        <v>esxi.mgmt-1.sslThumbprint=</v>
      </c>
    </row>
    <row r="83" customFormat="false" ht="15" hidden="false" customHeight="false" outlineLevel="0" collapsed="false">
      <c r="A83" s="293" t="str">
        <f aca="false">IF('Hosts and Networks'!L15="n/a","esxi.mgmt-2.sslThumbprint=","esxi.mgmt-2.sslThumbprint="&amp;'Hosts and Networks'!L15)</f>
        <v>esxi.mgmt-2.sslThumbprint=</v>
      </c>
    </row>
    <row r="84" customFormat="false" ht="15" hidden="false" customHeight="false" outlineLevel="0" collapsed="false">
      <c r="A84" s="293" t="str">
        <f aca="false">IF('Hosts and Networks'!L16="n/a","esxi.mgmt-3.sslThumbprint=","esxi.mgmt-3.sslThumbprint="&amp;'Hosts and Networks'!L16)</f>
        <v>esxi.mgmt-3.sslThumbprint=</v>
      </c>
    </row>
    <row r="85" customFormat="false" ht="15" hidden="false" customHeight="false" outlineLevel="0" collapsed="false">
      <c r="A85" s="293" t="str">
        <f aca="false">IF('Hosts and Networks'!L17="n/a","esxi.mgmt-4.sslThumbprint=","esxi.mgmt-4.sslThumbprint="&amp;'Hosts and Networks'!L17)</f>
        <v>esxi.mgmt-4.sslThumbprint=</v>
      </c>
    </row>
    <row r="87" customFormat="false" ht="15" hidden="false" customHeight="false" outlineLevel="0" collapsed="false">
      <c r="A87" s="292" t="s">
        <v>412</v>
      </c>
    </row>
    <row r="88" customFormat="false" ht="15" hidden="false" customHeight="false" outlineLevel="0" collapsed="false">
      <c r="A88" s="293" t="str">
        <f aca="false">IF('Deploy Parameters'!F17="n/a","mgmt-datacenter-name=","mgmt-datacenter-name="&amp;'Deploy Parameters'!F17)</f>
        <v>mgmt-datacenter-name=gbb-m01-dc01</v>
      </c>
      <c r="B88" s="292" t="s">
        <v>413</v>
      </c>
    </row>
    <row r="89" customFormat="false" ht="15" hidden="false" customHeight="false" outlineLevel="0" collapsed="false">
      <c r="A89" s="293" t="str">
        <f aca="false">IF('Deploy Parameters'!F18="n/a","management-cluster-name=","management-cluster-name="&amp;'Deploy Parameters'!F18)</f>
        <v>management-cluster-name=gbb-m01-cl01</v>
      </c>
      <c r="B89" s="292" t="s">
        <v>414</v>
      </c>
    </row>
    <row r="90" customFormat="false" ht="15" hidden="false" customHeight="false" outlineLevel="0" collapsed="false">
      <c r="A90" s="293" t="str">
        <f aca="false">IF('Deploy Parameters'!F19="n/a","evc-mode-management-cluster@value=","evc-mode-management-cluster@value="&amp;'Deploy Parameters'!F19)</f>
        <v>evc-mode-management-cluster@value=</v>
      </c>
      <c r="B90" s="292" t="s">
        <v>415</v>
      </c>
    </row>
    <row r="91" customFormat="false" ht="15" hidden="false" customHeight="false" outlineLevel="0" collapsed="false">
      <c r="A91" s="292" t="s">
        <v>416</v>
      </c>
    </row>
    <row r="92" customFormat="false" ht="15" hidden="false" customHeight="false" outlineLevel="0" collapsed="false">
      <c r="A92" s="293" t="str">
        <f aca="false">IF('Deploy Parameters'!F21="Standard","skipResourcePoolCreation=true","skipResourcePoolCreation=false")</f>
        <v>skipResourcePoolCreation=false</v>
      </c>
    </row>
    <row r="93" customFormat="false" ht="15" hidden="false" customHeight="false" outlineLevel="0" collapsed="false">
      <c r="A93" s="299" t="str">
        <f aca="false">IF('Deploy Parameters'!F21="Standard","vsphere-resource-pools[1]=","vsphere-resource-pools[1]="&amp;'Deploy Parameters'!F23)</f>
        <v>vsphere-resource-pools[1]=gbb-m01-cl01-rp-sddc-mgmt</v>
      </c>
      <c r="B93" s="292" t="s">
        <v>417</v>
      </c>
    </row>
    <row r="94" customFormat="false" ht="15" hidden="false" customHeight="false" outlineLevel="0" collapsed="false">
      <c r="A94" s="299" t="str">
        <f aca="false">IF('Deploy Parameters'!F21="Standard","vsphere-resource-pools[2]=","vsphere-resource-pools[2]="&amp;'Deploy Parameters'!F24)</f>
        <v>vsphere-resource-pools[2]=gbb-m01-cl01-rp-sddc-edge</v>
      </c>
      <c r="B94" s="292" t="s">
        <v>417</v>
      </c>
    </row>
    <row r="95" customFormat="false" ht="15" hidden="false" customHeight="false" outlineLevel="0" collapsed="false">
      <c r="A95" s="299" t="str">
        <f aca="false">IF('Deploy Parameters'!F21="Standard","vsphere-resource-pools[3]=","vsphere-resource-pools[3]="&amp;'Deploy Parameters'!F25)</f>
        <v>vsphere-resource-pools[3]=gbb-m01-cl01-rp-user-edge</v>
      </c>
      <c r="B95" s="292" t="s">
        <v>417</v>
      </c>
    </row>
    <row r="96" customFormat="false" ht="15" hidden="false" customHeight="false" outlineLevel="0" collapsed="false">
      <c r="A96" s="299" t="str">
        <f aca="false">IF('Deploy Parameters'!F21="Standard","vsphere-resource-pools[4]=","vsphere-resource-pools[4]="&amp;'Deploy Parameters'!F26)</f>
        <v>vsphere-resource-pools[4]=gbb-m01-cl01-rp-user-vm</v>
      </c>
      <c r="B96" s="292" t="s">
        <v>417</v>
      </c>
    </row>
    <row r="97" customFormat="false" ht="15" hidden="false" customHeight="false" outlineLevel="0" collapsed="false">
      <c r="A97" s="300"/>
    </row>
    <row r="98" customFormat="false" ht="15" hidden="false" customHeight="false" outlineLevel="0" collapsed="false">
      <c r="A98" s="292" t="s">
        <v>418</v>
      </c>
    </row>
    <row r="99" customFormat="false" ht="15" hidden="false" customHeight="false" outlineLevel="0" collapsed="false">
      <c r="A99" s="297" t="str">
        <f aca="false">IF('Hosts and Networks'!E17="n/a","vds-primary-switchName=","vds-primary-switchName="&amp;'Hosts and Networks'!E17)</f>
        <v>vds-primary-switchName=gbb-m01-cl01-vds01</v>
      </c>
      <c r="B99" s="292" t="s">
        <v>419</v>
      </c>
    </row>
    <row r="100" customFormat="false" ht="15" hidden="false" customHeight="false" outlineLevel="0" collapsed="false">
      <c r="A100" s="299" t="str">
        <f aca="false">IF('Hosts and Networks'!E18="n/a","vds-primary-vmnics=","vds-primary-vmnics="&amp;'Hosts and Networks'!E18)</f>
        <v>vds-primary-vmnics=vmnic0,vmnic1,vmnic2,vmnic3</v>
      </c>
      <c r="B100" s="292" t="s">
        <v>420</v>
      </c>
    </row>
    <row r="101" customFormat="false" ht="15" hidden="false" customHeight="false" outlineLevel="0" collapsed="false">
      <c r="A101" s="297" t="str">
        <f aca="false">IF('Hosts and Networks'!E19="n/a","vds-primary-mtu=","vds-primary-mtu="&amp;'Hosts and Networks'!E19)</f>
        <v>vds-primary-mtu=8490</v>
      </c>
      <c r="B101" s="292" t="s">
        <v>421</v>
      </c>
    </row>
    <row r="102" customFormat="false" ht="15" hidden="false" customHeight="false" outlineLevel="0" collapsed="false">
      <c r="A102" s="297" t="str">
        <f aca="false">IF('Hosts and Networks'!E21="n/a","vds-secondary-switchName=","vds-secondary-switchName="&amp;'Hosts and Networks'!E21)</f>
        <v>vds-secondary-switchName=</v>
      </c>
      <c r="B102" s="292" t="s">
        <v>419</v>
      </c>
    </row>
    <row r="103" customFormat="false" ht="15" hidden="false" customHeight="false" outlineLevel="0" collapsed="false">
      <c r="A103" s="299" t="str">
        <f aca="false">IF('Hosts and Networks'!E21="n/a","vds-secondary-vmnics=","vds-secondary-vmnics="&amp;'Hosts and Networks'!E22)</f>
        <v>vds-secondary-vmnics=</v>
      </c>
      <c r="B103" s="292" t="s">
        <v>420</v>
      </c>
    </row>
    <row r="104" customFormat="false" ht="15" hidden="false" customHeight="false" outlineLevel="0" collapsed="false">
      <c r="A104" s="297" t="str">
        <f aca="false">IF('Hosts and Networks'!E21="n/a","vds-secondary-mtu=","vds-secondary-mtu="&amp;'Hosts and Networks'!E23)</f>
        <v>vds-secondary-mtu=</v>
      </c>
      <c r="B104" s="292" t="s">
        <v>421</v>
      </c>
    </row>
    <row r="105" customFormat="false" ht="15" hidden="false" customHeight="false" outlineLevel="0" collapsed="false">
      <c r="A105" s="296" t="str">
        <f aca="false">"vds-profile="&amp;'Hosts and Networks'!E25</f>
        <v>vds-profile=Profile-1</v>
      </c>
    </row>
    <row r="106" customFormat="false" ht="15" hidden="false" customHeight="false" outlineLevel="0" collapsed="false">
      <c r="A106" s="0"/>
    </row>
    <row r="107" customFormat="false" ht="15" hidden="false" customHeight="false" outlineLevel="0" collapsed="false">
      <c r="A107" s="294" t="s">
        <v>422</v>
      </c>
    </row>
    <row r="108" customFormat="false" ht="15" hidden="false" customHeight="false" outlineLevel="0" collapsed="false">
      <c r="A108" s="293" t="str">
        <f aca="false">"managementNetwork.cidrNotation="&amp;'Hosts and Networks'!E7</f>
        <v>managementNetwork.cidrNotation=10.1.1.0/24</v>
      </c>
      <c r="B108" s="294" t="s">
        <v>423</v>
      </c>
    </row>
    <row r="109" customFormat="false" ht="15" hidden="false" customHeight="false" outlineLevel="0" collapsed="false">
      <c r="A109" s="293" t="str">
        <f aca="false">IF('Hosts and Networks'!F7="n/a","managementNetwork.gateway=","managementNetwork.gateway="&amp;'Hosts and Networks'!F7)</f>
        <v>managementNetwork.gateway=10.1.1.1</v>
      </c>
      <c r="B109" s="294" t="s">
        <v>424</v>
      </c>
    </row>
    <row r="110" customFormat="false" ht="15" hidden="false" customHeight="false" outlineLevel="0" collapsed="false">
      <c r="A110" s="293" t="str">
        <f aca="false">"vlan-mgmt-management.vlanId="&amp;'Hosts and Networks'!C7</f>
        <v>vlan-mgmt-management.vlanId=201</v>
      </c>
      <c r="B110" s="294" t="s">
        <v>425</v>
      </c>
    </row>
    <row r="111" s="294" customFormat="true" ht="15" hidden="false" customHeight="false" outlineLevel="0" collapsed="false">
      <c r="A111" s="293" t="str">
        <f aca="false">"vlan-mgmt-management-mtu@mtu="&amp;'Hosts and Networks'!G7</f>
        <v>vlan-mgmt-management-mtu@mtu=1500</v>
      </c>
      <c r="B111" s="294" t="s">
        <v>426</v>
      </c>
    </row>
    <row r="112" customFormat="false" ht="15" hidden="false" customHeight="false" outlineLevel="0" collapsed="false">
      <c r="A112" s="293" t="str">
        <f aca="false">IF('Hosts and Networks'!D7="n/a","vds-management-initial-configuration@dvPortGroups[1].name=","vds-management-initial-configuration@dvPortGroups[1].name="&amp;'Hosts and Networks'!D7)</f>
        <v>vds-management-initial-configuration@dvPortGroups[1].name=gbb01-m01-cl01-vds01-pg-mgmt</v>
      </c>
      <c r="B112" s="292" t="s">
        <v>427</v>
      </c>
    </row>
    <row r="114" customFormat="false" ht="15" hidden="false" customHeight="false" outlineLevel="0" collapsed="false">
      <c r="A114" s="294" t="s">
        <v>428</v>
      </c>
    </row>
    <row r="115" customFormat="false" ht="15" hidden="false" customHeight="false" outlineLevel="0" collapsed="false">
      <c r="A115" s="293" t="str">
        <f aca="false">IF('Hosts and Networks'!E9="n/a","mgmtVsanNetwork.cidrNotation=","mgmtVsanNetwork.cidrNotation="&amp;'Hosts and Networks'!E9)</f>
        <v>mgmtVsanNetwork.cidrNotation=10.1.3.0/24</v>
      </c>
      <c r="B115" s="294" t="s">
        <v>423</v>
      </c>
    </row>
    <row r="116" customFormat="false" ht="15" hidden="false" customHeight="false" outlineLevel="0" collapsed="false">
      <c r="A116" s="293" t="str">
        <f aca="false">IF('Hosts and Networks'!F9="n/a","mgmtVsanNetwork.gateway=","mgmtVsanNetwork.gateway="&amp;'Hosts and Networks'!F9)</f>
        <v>mgmtVsanNetwork.gateway=10.1.3.1</v>
      </c>
      <c r="B116" s="294" t="s">
        <v>424</v>
      </c>
    </row>
    <row r="117" customFormat="false" ht="15" hidden="false" customHeight="false" outlineLevel="0" collapsed="false">
      <c r="A117" s="293" t="str">
        <f aca="false">IF('Hosts and Networks'!C9="n/a","vlan-management-vsan.vlanId=","vlan-management-vsan.vlanId="&amp;'Hosts and Networks'!C9)</f>
        <v>vlan-management-vsan.vlanId=203</v>
      </c>
      <c r="B117" s="294" t="s">
        <v>425</v>
      </c>
    </row>
    <row r="118" s="294" customFormat="true" ht="15" hidden="false" customHeight="false" outlineLevel="0" collapsed="false">
      <c r="A118" s="296" t="str">
        <f aca="false">IF('Hosts and Networks'!G9="n/a","vlan-management-vsan-mtu@mtu=","vlan-management-vsan-mtu@mtu="&amp;'Hosts and Networks'!G9)</f>
        <v>vlan-management-vsan-mtu@mtu=8490</v>
      </c>
      <c r="B118" s="294" t="s">
        <v>426</v>
      </c>
    </row>
    <row r="119" customFormat="false" ht="15" hidden="false" customHeight="false" outlineLevel="0" collapsed="false">
      <c r="A119" s="293" t="str">
        <f aca="false">IF('Hosts and Networks'!D9="n/a","vds-management-initial-configuration@dvPortGroups[2].name=","vds-management-initial-configuration@dvPortGroups[2].name="&amp;'Hosts and Networks'!D9)</f>
        <v>vds-management-initial-configuration@dvPortGroups[2].name=gbb01-m01-cl01-vds01-pg-vsan</v>
      </c>
      <c r="B119" s="292" t="s">
        <v>427</v>
      </c>
    </row>
    <row r="121" customFormat="false" ht="15" hidden="false" customHeight="false" outlineLevel="0" collapsed="false">
      <c r="A121" s="294" t="s">
        <v>429</v>
      </c>
    </row>
    <row r="122" customFormat="false" ht="15" hidden="false" customHeight="false" outlineLevel="0" collapsed="false">
      <c r="A122" s="293" t="str">
        <f aca="false">"mgmtVmotionNetwork.cidrNotation="&amp;'Hosts and Networks'!E8</f>
        <v>mgmtVmotionNetwork.cidrNotation=10.1.2.0/24</v>
      </c>
      <c r="B122" s="294" t="s">
        <v>423</v>
      </c>
    </row>
    <row r="123" customFormat="false" ht="15" hidden="false" customHeight="false" outlineLevel="0" collapsed="false">
      <c r="A123" s="293" t="str">
        <f aca="false">"mgmtVmotionNetwork.gateway="&amp;'Hosts and Networks'!F8</f>
        <v>mgmtVmotionNetwork.gateway=10.1.2.1</v>
      </c>
      <c r="B123" s="294" t="s">
        <v>424</v>
      </c>
    </row>
    <row r="124" customFormat="false" ht="15" hidden="false" customHeight="false" outlineLevel="0" collapsed="false">
      <c r="A124" s="293" t="str">
        <f aca="false">IF('Hosts and Networks'!C8="n/a","vlan-management-vmotion.vlanId=","vlan-management-vmotion.vlanId="&amp;'Hosts and Networks'!C8)</f>
        <v>vlan-management-vmotion.vlanId=202</v>
      </c>
      <c r="B124" s="294" t="s">
        <v>425</v>
      </c>
    </row>
    <row r="125" s="294" customFormat="true" ht="15" hidden="false" customHeight="false" outlineLevel="0" collapsed="false">
      <c r="A125" s="296" t="str">
        <f aca="false">"vlan-management-vmotion-mtu@mtu="&amp;'Hosts and Networks'!G8</f>
        <v>vlan-management-vmotion-mtu@mtu=8490</v>
      </c>
      <c r="B125" s="294" t="s">
        <v>426</v>
      </c>
    </row>
    <row r="126" customFormat="false" ht="15" hidden="false" customHeight="false" outlineLevel="0" collapsed="false">
      <c r="A126" s="293" t="str">
        <f aca="false">IF('Hosts and Networks'!D8="n/a","vds-management-initial-configuration@dvPortGroups[3].name=","vds-management-initial-configuration@dvPortGroups[3].name="&amp;'Hosts and Networks'!D8)</f>
        <v>vds-management-initial-configuration@dvPortGroups[3].name=gbb01-m01-cl01-vds01-pg-vmotion</v>
      </c>
      <c r="B126" s="292" t="s">
        <v>427</v>
      </c>
    </row>
    <row r="128" customFormat="false" ht="15" hidden="false" customHeight="false" outlineLevel="0" collapsed="false">
      <c r="A128" s="294" t="s">
        <v>430</v>
      </c>
    </row>
    <row r="129" customFormat="false" ht="15" hidden="false" customHeight="false" outlineLevel="0" collapsed="false">
      <c r="A129" s="296" t="str">
        <f aca="false">"mgmtUplink01Network.cidrNotation="&amp;'Hosts and Networks'!E10</f>
        <v>mgmtUplink01Network.cidrNotation=10.1.5.0/24</v>
      </c>
      <c r="B129" s="294" t="s">
        <v>423</v>
      </c>
    </row>
    <row r="130" customFormat="false" ht="15" hidden="false" customHeight="false" outlineLevel="0" collapsed="false">
      <c r="A130" s="296" t="str">
        <f aca="false">"mgmtUplink01Network.gateway="&amp;'Hosts and Networks'!F10</f>
        <v>mgmtUplink01Network.gateway=10.1.5.1</v>
      </c>
      <c r="B130" s="294" t="s">
        <v>424</v>
      </c>
    </row>
    <row r="131" customFormat="false" ht="15" hidden="false" customHeight="false" outlineLevel="0" collapsed="false">
      <c r="A131" s="296" t="str">
        <f aca="false">"vlan-management-uplink-01.vlanId="&amp;'Hosts and Networks'!C10</f>
        <v>vlan-management-uplink-01.vlanId=205</v>
      </c>
      <c r="B131" s="294" t="s">
        <v>425</v>
      </c>
    </row>
    <row r="132" customFormat="false" ht="15" hidden="false" customHeight="false" outlineLevel="0" collapsed="false">
      <c r="A132" s="296" t="str">
        <f aca="false">"mgmtUplink01Network.mtu="&amp;'Hosts and Networks'!G10</f>
        <v>mgmtUplink01Network.mtu=8490</v>
      </c>
      <c r="B132" s="294" t="s">
        <v>426</v>
      </c>
    </row>
    <row r="133" customFormat="false" ht="15" hidden="false" customHeight="false" outlineLevel="0" collapsed="false">
      <c r="A133" s="296" t="str">
        <f aca="false">IF('Hosts and Networks'!D10="n/a","vds-management-initial-configuration@dvPortGroups[5].name=","vds-management-initial-configuration@dvPortGroups[5].name="&amp;'Hosts and Networks'!D10)</f>
        <v>vds-management-initial-configuration@dvPortGroups[5].name=gbb-m01-cl01-vds01-pg-uplink01</v>
      </c>
      <c r="B133" s="292" t="s">
        <v>427</v>
      </c>
    </row>
    <row r="134" customFormat="false" ht="15" hidden="false" customHeight="false" outlineLevel="0" collapsed="false">
      <c r="A134" s="294"/>
    </row>
    <row r="135" customFormat="false" ht="15" hidden="false" customHeight="false" outlineLevel="0" collapsed="false">
      <c r="A135" s="294" t="s">
        <v>431</v>
      </c>
    </row>
    <row r="136" customFormat="false" ht="15" hidden="false" customHeight="false" outlineLevel="0" collapsed="false">
      <c r="A136" s="296" t="str">
        <f aca="false">"mgmtUplink02Network.cidrNotation="&amp;'Hosts and Networks'!E11</f>
        <v>mgmtUplink02Network.cidrNotation=10.1.6.0/24</v>
      </c>
      <c r="B136" s="294" t="s">
        <v>423</v>
      </c>
    </row>
    <row r="137" customFormat="false" ht="15" hidden="false" customHeight="false" outlineLevel="0" collapsed="false">
      <c r="A137" s="296" t="str">
        <f aca="false">"mgmtUplink02Network.gateway="&amp;'Hosts and Networks'!F11</f>
        <v>mgmtUplink02Network.gateway=10.1.6.1</v>
      </c>
      <c r="B137" s="294" t="s">
        <v>424</v>
      </c>
    </row>
    <row r="138" customFormat="false" ht="15" hidden="false" customHeight="false" outlineLevel="0" collapsed="false">
      <c r="A138" s="296" t="str">
        <f aca="false">"vlan-management-uplink-02.vlanId="&amp;'Hosts and Networks'!C11</f>
        <v>vlan-management-uplink-02.vlanId=206</v>
      </c>
      <c r="B138" s="294" t="s">
        <v>425</v>
      </c>
    </row>
    <row r="139" customFormat="false" ht="15" hidden="false" customHeight="false" outlineLevel="0" collapsed="false">
      <c r="A139" s="296" t="str">
        <f aca="false">"mgmtUplink02Network.mtu="&amp;'Hosts and Networks'!G11</f>
        <v>mgmtUplink02Network.mtu=8490</v>
      </c>
      <c r="B139" s="294" t="s">
        <v>426</v>
      </c>
    </row>
    <row r="140" customFormat="false" ht="15" hidden="false" customHeight="false" outlineLevel="0" collapsed="false">
      <c r="A140" s="296" t="str">
        <f aca="false">IF('Hosts and Networks'!D11="n/a","vds-management-initial-configuration@dvPortGroups[6].name=","vds-management-initial-configuration@dvPortGroups[6].name="&amp;'Hosts and Networks'!D11)</f>
        <v>vds-management-initial-configuration@dvPortGroups[6].name=gbb-m01-cl01-vds01-pg-uplink02</v>
      </c>
      <c r="B140" s="292" t="s">
        <v>427</v>
      </c>
    </row>
    <row r="141" customFormat="false" ht="15" hidden="false" customHeight="false" outlineLevel="0" collapsed="false">
      <c r="A141" s="294"/>
    </row>
    <row r="142" customFormat="false" ht="15" hidden="false" customHeight="false" outlineLevel="0" collapsed="false">
      <c r="A142" s="294" t="s">
        <v>432</v>
      </c>
    </row>
    <row r="143" customFormat="false" ht="15" hidden="false" customHeight="false" outlineLevel="0" collapsed="false">
      <c r="A143" s="296" t="str">
        <f aca="false">IF('Deploy Parameters'!K28="No","xregionNetwork.cidrNotation=","xregionNetwork.cidrNotation="&amp;'Deploy Parameters'!K50)</f>
        <v>xregionNetwork.cidrNotation=10.1.8.0/24</v>
      </c>
      <c r="B143" s="294" t="s">
        <v>423</v>
      </c>
    </row>
    <row r="144" customFormat="false" ht="15" hidden="false" customHeight="false" outlineLevel="0" collapsed="false">
      <c r="A144" s="296" t="str">
        <f aca="false">IF('Deploy Parameters'!K28="No","xregionNetwork.gateway=","xregionNetwork.gateway="&amp;'Deploy Parameters'!J50)</f>
        <v>xregionNetwork.gateway=10.1.8.1</v>
      </c>
      <c r="B144" s="294" t="s">
        <v>424</v>
      </c>
    </row>
    <row r="145" customFormat="false" ht="15" hidden="false" customHeight="false" outlineLevel="0" collapsed="false">
      <c r="A145" s="296" t="str">
        <f aca="false">IF('Deploy Parameters'!K28="No","xregionNetwork.mtu=","xregionNetwork.mtu="&amp;'Hosts and Networks'!G12)</f>
        <v>xregionNetwork.mtu=8490</v>
      </c>
      <c r="B145" s="294" t="s">
        <v>426</v>
      </c>
    </row>
    <row r="146" customFormat="false" ht="15" hidden="false" customHeight="false" outlineLevel="0" collapsed="false">
      <c r="A146" s="294"/>
    </row>
    <row r="147" customFormat="false" ht="15" hidden="false" customHeight="false" outlineLevel="0" collapsed="false">
      <c r="A147" s="294" t="s">
        <v>433</v>
      </c>
    </row>
    <row r="148" customFormat="false" ht="15" hidden="false" customHeight="false" outlineLevel="0" collapsed="false">
      <c r="A148" s="296" t="str">
        <f aca="false">IF('Deploy Parameters'!K28="No","regionSpecificNetwork.cidrNotation=","regionSpecificNetwork.cidrNotation="&amp;'Deploy Parameters'!K47)</f>
        <v>regionSpecificNetwork.cidrNotation=10.1.7.0/24</v>
      </c>
      <c r="B148" s="294" t="s">
        <v>423</v>
      </c>
    </row>
    <row r="149" customFormat="false" ht="15" hidden="false" customHeight="false" outlineLevel="0" collapsed="false">
      <c r="A149" s="296" t="str">
        <f aca="false">IF('Deploy Parameters'!K28="No","regionSpecificNetwork.gateway=","regionSpecificNetwork.gateway="&amp;'Deploy Parameters'!J47)</f>
        <v>regionSpecificNetwork.gateway=10.1.7.1</v>
      </c>
      <c r="B149" s="294" t="s">
        <v>424</v>
      </c>
    </row>
    <row r="150" customFormat="false" ht="15" hidden="false" customHeight="false" outlineLevel="0" collapsed="false">
      <c r="A150" s="296" t="str">
        <f aca="false">IF('Deploy Parameters'!K28="No","regionSpecificNetwork.mtu=","regionSpecificNetwork.mtu="&amp;'Hosts and Networks'!G12)</f>
        <v>regionSpecificNetwork.mtu=8490</v>
      </c>
      <c r="B150" s="294" t="s">
        <v>426</v>
      </c>
    </row>
    <row r="151" customFormat="false" ht="15" hidden="false" customHeight="false" outlineLevel="0" collapsed="false">
      <c r="A151" s="294"/>
      <c r="B151" s="294"/>
    </row>
    <row r="152" customFormat="false" ht="15" hidden="false" customHeight="false" outlineLevel="0" collapsed="false">
      <c r="A152" s="292" t="s">
        <v>434</v>
      </c>
    </row>
    <row r="153" customFormat="false" ht="15" hidden="false" customHeight="false" outlineLevel="0" collapsed="false">
      <c r="A153" s="293" t="str">
        <f aca="false">IF('Hosts and Networks'!J8="n/a","inclusion-range-start-vmotion01=","inclusion-range-start-vmotion01="&amp;'Hosts and Networks'!J8)</f>
        <v>inclusion-range-start-vmotion01=10.1.2.101</v>
      </c>
      <c r="B153" s="292" t="s">
        <v>435</v>
      </c>
    </row>
    <row r="154" customFormat="false" ht="15" hidden="false" customHeight="false" outlineLevel="0" collapsed="false">
      <c r="A154" s="293" t="str">
        <f aca="false">IF('Hosts and Networks'!L8="n/a","inclusion-range-end-vmotion01=","inclusion-range-end-vmotion01="&amp;'Hosts and Networks'!L8)</f>
        <v>inclusion-range-end-vmotion01=10.1.2.130</v>
      </c>
      <c r="B154" s="292" t="s">
        <v>435</v>
      </c>
    </row>
    <row r="155" customFormat="false" ht="15" hidden="false" customHeight="false" outlineLevel="0" collapsed="false">
      <c r="A155" s="292" t="str">
        <f aca="false">"inclusion-range-start-vmotion02="</f>
        <v>inclusion-range-start-vmotion02=</v>
      </c>
      <c r="B155" s="292" t="s">
        <v>435</v>
      </c>
    </row>
    <row r="156" customFormat="false" ht="15" hidden="false" customHeight="false" outlineLevel="0" collapsed="false">
      <c r="A156" s="292" t="str">
        <f aca="false">"inclusion-range-end-vmotion02="</f>
        <v>inclusion-range-end-vmotion02=</v>
      </c>
      <c r="B156" s="292" t="s">
        <v>435</v>
      </c>
    </row>
    <row r="157" customFormat="false" ht="15" hidden="false" customHeight="false" outlineLevel="0" collapsed="false">
      <c r="A157" s="292" t="str">
        <f aca="false">"inclusion-ips-vmotion="</f>
        <v>inclusion-ips-vmotion=</v>
      </c>
    </row>
    <row r="158" customFormat="false" ht="15" hidden="false" customHeight="false" outlineLevel="0" collapsed="false">
      <c r="A158" s="293" t="str">
        <f aca="false">IF('Hosts and Networks'!J9="n/a","inclusion-range-start-vsan01=","inclusion-range-start-vsan01="&amp;'Hosts and Networks'!J9)</f>
        <v>inclusion-range-start-vsan01=10.1.3.201</v>
      </c>
      <c r="B158" s="292" t="s">
        <v>435</v>
      </c>
    </row>
    <row r="159" customFormat="false" ht="15" hidden="false" customHeight="false" outlineLevel="0" collapsed="false">
      <c r="A159" s="293" t="str">
        <f aca="false">IF('Hosts and Networks'!L9="n/a","inclusion-range-end-vsan01=","inclusion-range-end-vsan01="&amp;'Hosts and Networks'!L9)</f>
        <v>inclusion-range-end-vsan01=10.1.3.230</v>
      </c>
      <c r="B159" s="292" t="s">
        <v>435</v>
      </c>
    </row>
    <row r="160" customFormat="false" ht="15" hidden="false" customHeight="false" outlineLevel="0" collapsed="false">
      <c r="A160" s="292" t="str">
        <f aca="false">"inclusion-range-start-vsan02="</f>
        <v>inclusion-range-start-vsan02=</v>
      </c>
      <c r="B160" s="292" t="s">
        <v>435</v>
      </c>
    </row>
    <row r="161" customFormat="false" ht="15" hidden="false" customHeight="false" outlineLevel="0" collapsed="false">
      <c r="A161" s="292" t="str">
        <f aca="false">"inclusion-range-end-vsan02="</f>
        <v>inclusion-range-end-vsan02=</v>
      </c>
      <c r="B161" s="292" t="s">
        <v>435</v>
      </c>
    </row>
    <row r="162" customFormat="false" ht="15" hidden="false" customHeight="false" outlineLevel="0" collapsed="false">
      <c r="A162" s="292" t="str">
        <f aca="false">"inclusion-ips-vsan="</f>
        <v>inclusion-ips-vsan=</v>
      </c>
    </row>
    <row r="164" customFormat="false" ht="15" hidden="false" customHeight="false" outlineLevel="0" collapsed="false">
      <c r="A164" s="292" t="s">
        <v>436</v>
      </c>
    </row>
    <row r="165" customFormat="false" ht="15" hidden="false" customHeight="false" outlineLevel="0" collapsed="false">
      <c r="A165" s="299" t="str">
        <f aca="false">IF('Deploy Parameters'!F60="n/a","mgmt-vm-folder-name@value=","mgmt-vm-folder-name@value="&amp;'Deploy Parameters'!F60&amp;"-fd-mgmt")</f>
        <v>mgmt-vm-folder-name@value=gbb-m01-fd-mgmt</v>
      </c>
      <c r="B165" s="292" t="s">
        <v>437</v>
      </c>
    </row>
    <row r="166" customFormat="false" ht="15" hidden="false" customHeight="false" outlineLevel="0" collapsed="false">
      <c r="A166" s="299" t="str">
        <f aca="false">IF('Deploy Parameters'!F60="n/a","nsx-vm-folder-name@value=","nsx-vm-folder-name@value="&amp;'Deploy Parameters'!F60&amp;"-fd-nsx")</f>
        <v>nsx-vm-folder-name@value=gbb-m01-fd-nsx</v>
      </c>
      <c r="B166" s="292" t="s">
        <v>438</v>
      </c>
    </row>
    <row r="167" customFormat="false" ht="15" hidden="false" customHeight="false" outlineLevel="0" collapsed="false">
      <c r="A167" s="299" t="str">
        <f aca="false">IF('Deploy Parameters'!F60="n/a","edge-vm-folder-name@value=","edge-vm-folder-name@value="&amp;'Deploy Parameters'!F60&amp;"-fd-edge")</f>
        <v>edge-vm-folder-name@value=gbb-m01-fd-edge</v>
      </c>
      <c r="B167" s="292" t="s">
        <v>439</v>
      </c>
    </row>
    <row r="168" customFormat="false" ht="15" hidden="false" customHeight="false" outlineLevel="0" collapsed="false">
      <c r="A168" s="300"/>
    </row>
    <row r="169" customFormat="false" ht="15" hidden="false" customHeight="false" outlineLevel="0" collapsed="false">
      <c r="A169" s="292" t="s">
        <v>440</v>
      </c>
    </row>
    <row r="170" customFormat="false" ht="15" hidden="false" customHeight="false" outlineLevel="0" collapsed="false">
      <c r="A170" s="292" t="s">
        <v>441</v>
      </c>
    </row>
    <row r="171" s="294" customFormat="true" ht="15" hidden="false" customHeight="false" outlineLevel="0" collapsed="false">
      <c r="A171" s="296" t="str">
        <f aca="false">IF('Management Workloads'!L9="n/a","nsxt-license@key=","nsxt-license@key="&amp;'Management Workloads'!L9)</f>
        <v>nsxt-license@key=</v>
      </c>
      <c r="B171" s="294" t="s">
        <v>442</v>
      </c>
    </row>
    <row r="172" customFormat="false" ht="15" hidden="false" customHeight="false" outlineLevel="0" collapsed="false">
      <c r="A172" s="292" t="s">
        <v>443</v>
      </c>
    </row>
    <row r="173" customFormat="false" ht="15" hidden="false" customHeight="false" outlineLevel="0" collapsed="false">
      <c r="A173" s="293" t="str">
        <f aca="false">"nsxt-va-deployment-size="&amp;'Deploy Parameters'!F33</f>
        <v>nsxt-va-deployment-size=small</v>
      </c>
      <c r="B173" s="292" t="s">
        <v>444</v>
      </c>
    </row>
    <row r="174" customFormat="false" ht="15" hidden="false" customHeight="false" outlineLevel="0" collapsed="false">
      <c r="A174" s="292" t="s">
        <v>445</v>
      </c>
    </row>
    <row r="175" customFormat="false" ht="15" hidden="false" customHeight="false" outlineLevel="0" collapsed="false">
      <c r="A175" s="293" t="str">
        <f aca="false">"nsxt-root-credentials@password="&amp;'Users and Groups'!C11</f>
        <v>nsxt-root-credentials@password=</v>
      </c>
      <c r="B175" s="292" t="s">
        <v>446</v>
      </c>
    </row>
    <row r="176" customFormat="false" ht="15" hidden="false" customHeight="false" outlineLevel="0" collapsed="false">
      <c r="A176" s="293" t="str">
        <f aca="false">"nsxt-admin-credentials@password="&amp;'Users and Groups'!C12</f>
        <v>nsxt-admin-credentials@password=</v>
      </c>
      <c r="B176" s="292" t="s">
        <v>447</v>
      </c>
    </row>
    <row r="177" customFormat="false" ht="15" hidden="false" customHeight="false" outlineLevel="0" collapsed="false">
      <c r="A177" s="293" t="str">
        <f aca="false">"nsxt-cli-privilege-credentials@password="&amp;'Users and Groups'!C13</f>
        <v>nsxt-cli-privilege-credentials@password=</v>
      </c>
      <c r="B177" s="292" t="s">
        <v>448</v>
      </c>
    </row>
    <row r="178" customFormat="false" ht="15" hidden="false" customHeight="false" outlineLevel="0" collapsed="false">
      <c r="A178" s="292" t="s">
        <v>449</v>
      </c>
      <c r="B178" s="292" t="s">
        <v>450</v>
      </c>
    </row>
    <row r="179" customFormat="false" ht="15" hidden="false" customHeight="false" outlineLevel="0" collapsed="false">
      <c r="A179" s="292" t="s">
        <v>451</v>
      </c>
      <c r="B179" s="292" t="s">
        <v>452</v>
      </c>
    </row>
    <row r="180" customFormat="false" ht="15" hidden="false" customHeight="false" outlineLevel="0" collapsed="false">
      <c r="A180" s="292" t="s">
        <v>453</v>
      </c>
    </row>
    <row r="181" customFormat="false" ht="15" hidden="false" customHeight="false" outlineLevel="0" collapsed="false">
      <c r="A181" s="293" t="str">
        <f aca="false">"nsxt-vip-hostname="&amp;'Deploy Parameters'!F29</f>
        <v>nsxt-vip-hostname=gbb-m01-nsx01</v>
      </c>
      <c r="B181" s="292" t="s">
        <v>454</v>
      </c>
    </row>
    <row r="182" customFormat="false" ht="15" hidden="false" customHeight="false" outlineLevel="0" collapsed="false">
      <c r="A182" s="293" t="str">
        <f aca="false">"nsxt-vip-address="&amp;'Deploy Parameters'!G29</f>
        <v>nsxt-vip-address=10.1.1.4</v>
      </c>
      <c r="B182" s="292" t="s">
        <v>455</v>
      </c>
    </row>
    <row r="183" customFormat="false" ht="15" hidden="false" customHeight="false" outlineLevel="0" collapsed="false">
      <c r="A183" s="293" t="str">
        <f aca="false">"nsxt-node1-hostname="&amp;'Deploy Parameters'!F30</f>
        <v>nsxt-node1-hostname=gbb-m01-nsx01a</v>
      </c>
      <c r="B183" s="292" t="s">
        <v>456</v>
      </c>
    </row>
    <row r="184" customFormat="false" ht="15" hidden="false" customHeight="false" outlineLevel="0" collapsed="false">
      <c r="A184" s="293" t="str">
        <f aca="false">"nsxt-node1-address="&amp;'Deploy Parameters'!G30</f>
        <v>nsxt-node1-address=10.1.1.5</v>
      </c>
      <c r="B184" s="292" t="s">
        <v>456</v>
      </c>
    </row>
    <row r="185" customFormat="false" ht="15" hidden="false" customHeight="false" outlineLevel="0" collapsed="false">
      <c r="A185" s="293" t="str">
        <f aca="false">"nsxt-node2-hostname="&amp;'Deploy Parameters'!F31</f>
        <v>nsxt-node2-hostname=gbb-m01-nsx01b</v>
      </c>
      <c r="B185" s="292" t="s">
        <v>456</v>
      </c>
    </row>
    <row r="186" customFormat="false" ht="15" hidden="false" customHeight="false" outlineLevel="0" collapsed="false">
      <c r="A186" s="293" t="str">
        <f aca="false">"nsxt-node2-address="&amp;'Deploy Parameters'!G31</f>
        <v>nsxt-node2-address=10.1.1.6</v>
      </c>
      <c r="B186" s="292" t="s">
        <v>456</v>
      </c>
    </row>
    <row r="187" customFormat="false" ht="15" hidden="false" customHeight="false" outlineLevel="0" collapsed="false">
      <c r="A187" s="293" t="str">
        <f aca="false">"nsxt-node3-hostname="&amp;'Deploy Parameters'!F32</f>
        <v>nsxt-node3-hostname=gbb-m01-nsx01c</v>
      </c>
      <c r="B187" s="292" t="s">
        <v>456</v>
      </c>
    </row>
    <row r="188" customFormat="false" ht="15" hidden="false" customHeight="false" outlineLevel="0" collapsed="false">
      <c r="A188" s="293" t="str">
        <f aca="false">"nsxt-node3-address="&amp;'Deploy Parameters'!G32</f>
        <v>nsxt-node3-address=10.1.1.7</v>
      </c>
      <c r="B188" s="292" t="s">
        <v>456</v>
      </c>
    </row>
    <row r="189" customFormat="false" ht="15" hidden="false" customHeight="false" outlineLevel="0" collapsed="false">
      <c r="A189" s="292" t="s">
        <v>457</v>
      </c>
    </row>
    <row r="190" customFormat="false" ht="15" hidden="false" customHeight="false" outlineLevel="0" collapsed="false">
      <c r="A190" s="293" t="str">
        <f aca="false">"nsxt-transport-vlan-zoneName="&amp;'Deploy Parameters'!F60&amp;"-tz-vlan01"</f>
        <v>nsxt-transport-vlan-zoneName=gbb-m01-tz-vlan01</v>
      </c>
      <c r="B190" s="292" t="s">
        <v>458</v>
      </c>
    </row>
    <row r="191" customFormat="false" ht="15" hidden="false" customHeight="false" outlineLevel="0" collapsed="false">
      <c r="A191" s="292" t="s">
        <v>459</v>
      </c>
      <c r="B191" s="292" t="s">
        <v>460</v>
      </c>
    </row>
    <row r="192" customFormat="false" ht="15" hidden="false" customHeight="false" outlineLevel="0" collapsed="false">
      <c r="A192" s="293" t="str">
        <f aca="false">"nsxt-transport-vlanid="&amp;'Hosts and Networks'!J21</f>
        <v>nsxt-transport-vlanid=203</v>
      </c>
      <c r="B192" s="292" t="s">
        <v>461</v>
      </c>
    </row>
    <row r="193" customFormat="false" ht="15" hidden="false" customHeight="false" outlineLevel="0" collapsed="false">
      <c r="A193" s="293" t="str">
        <f aca="false">"nsxt-transport-overlay-zoneName="&amp;'Deploy Parameters'!F60&amp;"-tz-overlay01"</f>
        <v>nsxt-transport-overlay-zoneName=gbb-m01-tz-overlay01</v>
      </c>
      <c r="B193" s="292" t="s">
        <v>462</v>
      </c>
    </row>
    <row r="194" customFormat="false" ht="15" hidden="false" customHeight="false" outlineLevel="0" collapsed="false">
      <c r="A194" s="292" t="s">
        <v>463</v>
      </c>
      <c r="B194" s="292" t="s">
        <v>464</v>
      </c>
    </row>
    <row r="196" customFormat="false" ht="15" hidden="false" customHeight="false" outlineLevel="0" collapsed="false">
      <c r="A196" s="292" t="s">
        <v>465</v>
      </c>
    </row>
    <row r="197" customFormat="false" ht="15" hidden="false" customHeight="false" outlineLevel="0" collapsed="false">
      <c r="A197" s="293" t="str">
        <f aca="false">IF('Hosts and Networks'!K23="Yes","nsxt-hostStaticIpPool=true","nsxt-hostStaticIpPool=false")</f>
        <v>nsxt-hostStaticIpPool=false</v>
      </c>
    </row>
    <row r="198" customFormat="false" ht="15" hidden="false" customHeight="false" outlineLevel="0" collapsed="false">
      <c r="A198" s="293" t="str">
        <f aca="false">IF('Hosts and Networks'!K23="No","nsxt-hostStaticIpPool-name=","nsxt-hostStaticIpPool-name="&amp;'Hosts and Networks'!J25)</f>
        <v>nsxt-hostStaticIpPool-name=</v>
      </c>
      <c r="B198" s="292" t="s">
        <v>466</v>
      </c>
    </row>
    <row r="199" customFormat="false" ht="15" hidden="false" customHeight="false" outlineLevel="0" collapsed="false">
      <c r="A199" s="293" t="str">
        <f aca="false">IF('Hosts and Networks'!K23="No","nsxt-hostStaticIpPool-description=","nsxt-hostStaticIpPool-description="&amp;'Hosts and Networks'!J24)</f>
        <v>nsxt-hostStaticIpPool-description=</v>
      </c>
      <c r="B199" s="292" t="s">
        <v>467</v>
      </c>
    </row>
    <row r="200" customFormat="false" ht="15" hidden="false" customHeight="false" outlineLevel="0" collapsed="false">
      <c r="A200" s="293" t="str">
        <f aca="false">IF('Hosts and Networks'!K23="No","nsxt-hostStaticIpPool-ipStart=","nsxt-hostStaticIpPool-ipStart="&amp;'Hosts and Networks'!J27)</f>
        <v>nsxt-hostStaticIpPool-ipStart=</v>
      </c>
      <c r="B200" s="292" t="s">
        <v>468</v>
      </c>
    </row>
    <row r="201" customFormat="false" ht="15" hidden="false" customHeight="false" outlineLevel="0" collapsed="false">
      <c r="A201" s="293" t="str">
        <f aca="false">IF('Hosts and Networks'!K23="No","nsxt-hostStaticIpPool-ipEnd=","nsxt-hostStaticIpPool-ipEnd="&amp;'Hosts and Networks'!L27)</f>
        <v>nsxt-hostStaticIpPool-ipEnd=</v>
      </c>
      <c r="B201" s="292" t="s">
        <v>469</v>
      </c>
    </row>
    <row r="202" customFormat="false" ht="15" hidden="false" customHeight="false" outlineLevel="0" collapsed="false">
      <c r="A202" s="293" t="str">
        <f aca="false">IF('Hosts and Networks'!K23="No","nsxt-hostStaticIpPool-ipCidr=","nsxt-hostStaticIpPool-ipCidr="&amp;'Hosts and Networks'!J26)</f>
        <v>nsxt-hostStaticIpPool-ipCidr=</v>
      </c>
      <c r="B202" s="292" t="s">
        <v>470</v>
      </c>
    </row>
    <row r="203" customFormat="false" ht="15" hidden="false" customHeight="false" outlineLevel="0" collapsed="false">
      <c r="A203" s="293" t="str">
        <f aca="false">IF('Hosts and Networks'!K23="No","nsxt-hostStaticIpPool-ipGateway=","nsxt-hostStaticIpPool-ipGateway="&amp;'Hosts and Networks'!L26)</f>
        <v>nsxt-hostStaticIpPool-ipGateway=</v>
      </c>
      <c r="B203" s="292" t="s">
        <v>471</v>
      </c>
    </row>
    <row r="205" customFormat="false" ht="15" hidden="false" customHeight="false" outlineLevel="0" collapsed="false">
      <c r="A205" s="292" t="s">
        <v>472</v>
      </c>
    </row>
    <row r="206" customFormat="false" ht="15" hidden="false" customHeight="false" outlineLevel="0" collapsed="false">
      <c r="A206" s="293" t="str">
        <f aca="false">IF('Deploy Parameters'!K28="Yes","excludedComponents.AVN=false","excludedComponents.AVN=true")</f>
        <v>excludedComponents.AVN=false</v>
      </c>
      <c r="B206" s="292" t="s">
        <v>473</v>
      </c>
    </row>
    <row r="207" customFormat="false" ht="15" hidden="false" customHeight="false" outlineLevel="0" collapsed="false">
      <c r="A207" s="293" t="str">
        <f aca="false">IF('Deploy Parameters'!F37="n/a","nsxt-edge-cluster-name=","nsxt-edge-cluster-name="&amp;'Deploy Parameters'!F37)</f>
        <v>nsxt-edge-cluster-name=gbb-m01-ec01</v>
      </c>
      <c r="B207" s="292" t="s">
        <v>474</v>
      </c>
    </row>
    <row r="208" customFormat="false" ht="15" hidden="false" customHeight="false" outlineLevel="0" collapsed="false">
      <c r="A208" s="292" t="s">
        <v>475</v>
      </c>
    </row>
    <row r="209" customFormat="false" ht="15" hidden="false" customHeight="false" outlineLevel="0" collapsed="false">
      <c r="A209" s="293" t="str">
        <f aca="false">"nsxt-edge-root-credentials@password="&amp;'Users and Groups'!C11</f>
        <v>nsxt-edge-root-credentials@password=</v>
      </c>
      <c r="B209" s="292" t="s">
        <v>476</v>
      </c>
    </row>
    <row r="210" customFormat="false" ht="15" hidden="false" customHeight="false" outlineLevel="0" collapsed="false">
      <c r="A210" s="293" t="str">
        <f aca="false">"nsxt-edge-admin-credentials@password="&amp;'Users and Groups'!C12</f>
        <v>nsxt-edge-admin-credentials@password=</v>
      </c>
      <c r="B210" s="292" t="s">
        <v>477</v>
      </c>
    </row>
    <row r="211" customFormat="false" ht="15" hidden="false" customHeight="false" outlineLevel="0" collapsed="false">
      <c r="A211" s="293" t="str">
        <f aca="false">"nsxt-edge-cli-privilege-credentials@password="&amp;'Users and Groups'!C13</f>
        <v>nsxt-edge-cli-privilege-credentials@password=</v>
      </c>
      <c r="B211" s="292" t="s">
        <v>478</v>
      </c>
    </row>
    <row r="212" customFormat="false" ht="15" hidden="false" customHeight="false" outlineLevel="0" collapsed="false">
      <c r="A212" s="292" t="s">
        <v>479</v>
      </c>
    </row>
    <row r="213" customFormat="false" ht="15" hidden="false" customHeight="false" outlineLevel="0" collapsed="false">
      <c r="A213" s="293" t="str">
        <f aca="false">"nsxt-edge-va-deployment-size="&amp;UPPER('Deploy Parameters'!F39)</f>
        <v>nsxt-edge-va-deployment-size=SMALL</v>
      </c>
      <c r="B213" s="292" t="s">
        <v>480</v>
      </c>
    </row>
    <row r="214" customFormat="false" ht="15" hidden="false" customHeight="false" outlineLevel="0" collapsed="false">
      <c r="A214" s="292" t="s">
        <v>481</v>
      </c>
    </row>
    <row r="215" customFormat="false" ht="15" hidden="false" customHeight="false" outlineLevel="0" collapsed="false">
      <c r="A215" s="292" t="str">
        <f aca="false">"nsxt-edge-tier0-gateway-name="&amp;'Deploy Parameters'!F37&amp;"-t0-gw01"</f>
        <v>nsxt-edge-tier0-gateway-name=gbb-m01-ec01-t0-gw01</v>
      </c>
      <c r="B215" s="292" t="s">
        <v>482</v>
      </c>
    </row>
    <row r="216" customFormat="false" ht="15" hidden="false" customHeight="false" outlineLevel="0" collapsed="false">
      <c r="A216" s="292" t="str">
        <f aca="false">"nsxt-edge-tier1-gateway-name="&amp;'Deploy Parameters'!F37&amp;"-t1-gw01"</f>
        <v>nsxt-edge-tier1-gateway-name=gbb-m01-ec01-t1-gw01</v>
      </c>
      <c r="B216" s="292" t="s">
        <v>483</v>
      </c>
    </row>
    <row r="217" customFormat="false" ht="15" hidden="false" customHeight="false" outlineLevel="0" collapsed="false">
      <c r="A217" s="293" t="str">
        <f aca="false">IF('Hosts and Networks'!D10="n/a","nsxt-edge-tier0-segment-name01=","nsxt-edge-tier0-segment-name01="&amp;'Hosts and Networks'!D10)</f>
        <v>nsxt-edge-tier0-segment-name01=gbb-m01-cl01-vds01-pg-uplink01</v>
      </c>
      <c r="B217" s="292" t="s">
        <v>484</v>
      </c>
    </row>
    <row r="218" customFormat="false" ht="15" hidden="false" customHeight="false" outlineLevel="0" collapsed="false">
      <c r="A218" s="293" t="str">
        <f aca="false">IF('Hosts and Networks'!D11="n/a","nsxt-edge-tier0-segment-name02=","nsxt-edge-tier0-segment-name02="&amp;'Hosts and Networks'!D11)</f>
        <v>nsxt-edge-tier0-segment-name02=gbb-m01-cl01-vds01-pg-uplink02</v>
      </c>
      <c r="B218" s="292" t="s">
        <v>484</v>
      </c>
    </row>
    <row r="219" customFormat="false" ht="15" hidden="false" customHeight="false" outlineLevel="0" collapsed="false">
      <c r="A219" s="292" t="str">
        <f aca="false">"nsxt-edge-tier0-high-availability=ACTIVE_ACTIVE"</f>
        <v>nsxt-edge-tier0-high-availability=ACTIVE_ACTIVE</v>
      </c>
      <c r="B219" s="292" t="s">
        <v>485</v>
      </c>
    </row>
    <row r="220" customFormat="false" ht="15" hidden="false" customHeight="false" outlineLevel="0" collapsed="false">
      <c r="A220" s="292" t="s">
        <v>486</v>
      </c>
    </row>
    <row r="221" customFormat="false" ht="15" hidden="false" customHeight="false" outlineLevel="0" collapsed="false">
      <c r="A221" s="293" t="str">
        <f aca="false">IF('Deploy Parameters'!F38="n/a","nsxt-edge-node-autonomousSystem=","nsxt-edge-node-autonomousSystem="&amp;'Deploy Parameters'!F38)</f>
        <v>nsxt-edge-node-autonomousSystem=65000</v>
      </c>
      <c r="B221" s="292" t="s">
        <v>487</v>
      </c>
    </row>
    <row r="222" customFormat="false" ht="15" hidden="false" customHeight="false" outlineLevel="0" collapsed="false">
      <c r="A222" s="293" t="str">
        <f aca="false">IF('Deploy Parameters'!F41="n/a","nsxt-edge-node01-name=","nsxt-edge-node01-name="&amp;'Deploy Parameters'!F41)</f>
        <v>nsxt-edge-node01-name=gbb-m01-en01</v>
      </c>
      <c r="B222" s="292" t="s">
        <v>488</v>
      </c>
    </row>
    <row r="223" customFormat="false" ht="15" hidden="false" customHeight="false" outlineLevel="0" collapsed="false">
      <c r="A223" s="293" t="str">
        <f aca="false">IF('Deploy Parameters'!F42="n/a","nsxt-edge-node01-management-ip=","nsxt-edge-node01-management-ip="&amp;'Deploy Parameters'!F42)</f>
        <v>nsxt-edge-node01-management-ip=10.1.1.21</v>
      </c>
      <c r="B223" s="292" t="s">
        <v>489</v>
      </c>
    </row>
    <row r="224" customFormat="false" ht="15" hidden="false" customHeight="false" outlineLevel="0" collapsed="false">
      <c r="A224" s="293" t="str">
        <f aca="false">IF('Deploy Parameters'!F45="n/a","nsxt-edge-node01-vtep01-ip=","nsxt-edge-node01-vtep01-ip="&amp;'Deploy Parameters'!F45)</f>
        <v>nsxt-edge-node01-vtep01-ip=10.1.4.11</v>
      </c>
      <c r="B224" s="292" t="s">
        <v>490</v>
      </c>
    </row>
    <row r="225" customFormat="false" ht="15" hidden="false" customHeight="false" outlineLevel="0" collapsed="false">
      <c r="A225" s="293" t="str">
        <f aca="false">IF('Deploy Parameters'!F46="n/a","nsxt-edge-node01-vtep02-ip=","nsxt-edge-node01-vtep02-ip="&amp;'Deploy Parameters'!F46)</f>
        <v>nsxt-edge-node01-vtep02-ip=10.1.4.12</v>
      </c>
      <c r="B225" s="292" t="s">
        <v>491</v>
      </c>
    </row>
    <row r="226" customFormat="false" ht="15" hidden="false" customHeight="false" outlineLevel="0" collapsed="false">
      <c r="A226" s="293" t="str">
        <f aca="false">IF('Deploy Parameters'!F43="n/a","nsxt-edge-node01-uplink-tor01-ip=","nsxt-edge-node01-uplink-tor01-ip="&amp;'Deploy Parameters'!F43)</f>
        <v>nsxt-edge-node01-uplink-tor01-ip=10.1.5.2</v>
      </c>
      <c r="B226" s="292" t="s">
        <v>492</v>
      </c>
    </row>
    <row r="227" customFormat="false" ht="15" hidden="false" customHeight="false" outlineLevel="0" collapsed="false">
      <c r="A227" s="293" t="str">
        <f aca="false">IF('Deploy Parameters'!F44="n/a","nsxt-edge-node01-uplink-tor02-ip=","nsxt-edge-node01-uplink-tor02-ip="&amp;'Deploy Parameters'!F44)</f>
        <v>nsxt-edge-node01-uplink-tor02-ip=10.1.6.2</v>
      </c>
      <c r="B227" s="292" t="s">
        <v>492</v>
      </c>
    </row>
    <row r="228" customFormat="false" ht="15" hidden="false" customHeight="false" outlineLevel="0" collapsed="false">
      <c r="A228" s="293" t="str">
        <f aca="false">IF('Deploy Parameters'!F48="n/a","nsxt-edge-node02-name=","nsxt-edge-node02-name="&amp;'Deploy Parameters'!F48)</f>
        <v>nsxt-edge-node02-name=gbb-m01-en02</v>
      </c>
      <c r="B228" s="292" t="s">
        <v>488</v>
      </c>
    </row>
    <row r="229" customFormat="false" ht="15" hidden="false" customHeight="false" outlineLevel="0" collapsed="false">
      <c r="A229" s="293" t="str">
        <f aca="false">IF('Deploy Parameters'!F49="n/a","nsxt-edge-node02-management-ip=","nsxt-edge-node02-management-ip="&amp;'Deploy Parameters'!F49)</f>
        <v>nsxt-edge-node02-management-ip=10.1.1.22</v>
      </c>
      <c r="B229" s="292" t="s">
        <v>489</v>
      </c>
    </row>
    <row r="230" customFormat="false" ht="15" hidden="false" customHeight="false" outlineLevel="0" collapsed="false">
      <c r="A230" s="293" t="str">
        <f aca="false">IF('Deploy Parameters'!F52="n/a","nsxt-edge-node02-vtep01-ip=","nsxt-edge-node02-vtep01-ip="&amp;'Deploy Parameters'!F52)</f>
        <v>nsxt-edge-node02-vtep01-ip=10.1.4.13</v>
      </c>
      <c r="B230" s="292" t="s">
        <v>490</v>
      </c>
    </row>
    <row r="231" customFormat="false" ht="15" hidden="false" customHeight="false" outlineLevel="0" collapsed="false">
      <c r="A231" s="293" t="str">
        <f aca="false">IF('Deploy Parameters'!F53="n/a","nsxt-edge-node02-vtep02-ip=","nsxt-edge-node02-vtep02-ip="&amp;'Deploy Parameters'!F53)</f>
        <v>nsxt-edge-node02-vtep02-ip=10.1.4.14</v>
      </c>
      <c r="B231" s="292" t="s">
        <v>491</v>
      </c>
    </row>
    <row r="232" customFormat="false" ht="15" hidden="false" customHeight="false" outlineLevel="0" collapsed="false">
      <c r="A232" s="293" t="str">
        <f aca="false">IF('Deploy Parameters'!F50="n/a","nsxt-edge-node02-uplink-tor01-ip=","nsxt-edge-node02-uplink-tor01-ip="&amp;'Deploy Parameters'!F50)</f>
        <v>nsxt-edge-node02-uplink-tor01-ip=10.1.5.3</v>
      </c>
      <c r="B232" s="292" t="s">
        <v>492</v>
      </c>
    </row>
    <row r="233" customFormat="false" ht="15" hidden="false" customHeight="false" outlineLevel="0" collapsed="false">
      <c r="A233" s="293" t="str">
        <f aca="false">IF('Deploy Parameters'!F51="n/a","nsxt-edge-node02-uplink-tor02-ip=","nsxt-edge-node02-uplink-tor02-ip="&amp;'Deploy Parameters'!F51)</f>
        <v>nsxt-edge-node02-uplink-tor02-ip=10.1.6.3</v>
      </c>
      <c r="B233" s="292" t="s">
        <v>492</v>
      </c>
    </row>
    <row r="234" customFormat="false" ht="15" hidden="false" customHeight="false" outlineLevel="0" collapsed="false">
      <c r="A234" s="292" t="s">
        <v>493</v>
      </c>
    </row>
    <row r="235" customFormat="false" ht="15" hidden="false" customHeight="false" outlineLevel="0" collapsed="false">
      <c r="A235" s="293" t="str">
        <f aca="false">IF('Deploy Parameters'!J37="n/a","nsxt-tor01-bgp-neighbour-ip=","nsxt-tor01-bgp-neighbour-ip="&amp;'Deploy Parameters'!J37)</f>
        <v>nsxt-tor01-bgp-neighbour-ip=10.1.5.1</v>
      </c>
      <c r="B235" s="292" t="s">
        <v>494</v>
      </c>
    </row>
    <row r="236" customFormat="false" ht="15" hidden="false" customHeight="false" outlineLevel="0" collapsed="false">
      <c r="A236" s="293" t="str">
        <f aca="false">IF('Deploy Parameters'!J38="n/a","nsxt-tor01-bgp-neighbour-autonomousSystem=","nsxt-tor01-bgp-neighbour-autonomousSystem="&amp;'Deploy Parameters'!J38)</f>
        <v>nsxt-tor01-bgp-neighbour-autonomousSystem=65001</v>
      </c>
      <c r="B236" s="292" t="s">
        <v>495</v>
      </c>
    </row>
    <row r="237" customFormat="false" ht="15" hidden="false" customHeight="false" outlineLevel="0" collapsed="false">
      <c r="A237" s="293" t="str">
        <f aca="false">IF('Deploy Parameters'!J39="n/a","nsxt-tor01-bgp-neighbour-password=","nsxt-tor01-bgp-neighbour-password="&amp;'Deploy Parameters'!J39)</f>
        <v>nsxt-tor01-bgp-neighbour-password=</v>
      </c>
      <c r="B237" s="292" t="s">
        <v>496</v>
      </c>
    </row>
    <row r="238" customFormat="false" ht="15" hidden="false" customHeight="false" outlineLevel="0" collapsed="false">
      <c r="A238" s="293" t="str">
        <f aca="false">IF('Deploy Parameters'!J40="n/a","nsxt-tor02-bgp-neighbour-ip=","nsxt-tor02-bgp-neighbour-ip="&amp;'Deploy Parameters'!J40)</f>
        <v>nsxt-tor02-bgp-neighbour-ip=10.1.6.1</v>
      </c>
      <c r="B238" s="292" t="s">
        <v>494</v>
      </c>
    </row>
    <row r="239" customFormat="false" ht="15" hidden="false" customHeight="false" outlineLevel="0" collapsed="false">
      <c r="A239" s="293" t="str">
        <f aca="false">IF('Deploy Parameters'!J41="n/a","nsxt-tor02-bgp-neighbour-autonomousSystem=","nsxt-tor02-bgp-neighbour-autonomousSystem="&amp;'Deploy Parameters'!J41)</f>
        <v>nsxt-tor02-bgp-neighbour-autonomousSystem=65001</v>
      </c>
      <c r="B239" s="292" t="s">
        <v>495</v>
      </c>
    </row>
    <row r="240" customFormat="false" ht="15" hidden="false" customHeight="false" outlineLevel="0" collapsed="false">
      <c r="A240" s="293" t="str">
        <f aca="false">IF('Deploy Parameters'!J42="n/a","nsxt-tor02-bgp-neighbour-password=","nsxt-tor02-bgp-neighbour-password="&amp;'Deploy Parameters'!J42)</f>
        <v>nsxt-tor02-bgp-neighbour-password=</v>
      </c>
      <c r="B240" s="292" t="s">
        <v>496</v>
      </c>
    </row>
    <row r="241" customFormat="false" ht="15" hidden="false" customHeight="false" outlineLevel="0" collapsed="false">
      <c r="A241" s="292" t="s">
        <v>497</v>
      </c>
    </row>
    <row r="242" customFormat="false" ht="15" hidden="false" customHeight="false" outlineLevel="0" collapsed="false">
      <c r="A242" s="293" t="str">
        <f aca="false">IF('Deploy Parameters'!J46="n/a","nsxt-logical-switch-regiona=","nsxt-logical-switch-regiona="&amp;'Deploy Parameters'!J46)</f>
        <v>nsxt-logical-switch-regiona=gbb-m01-seg01</v>
      </c>
      <c r="B242" s="292" t="s">
        <v>498</v>
      </c>
    </row>
    <row r="243" customFormat="false" ht="15" hidden="false" customHeight="false" outlineLevel="0" collapsed="false">
      <c r="A243" s="293" t="str">
        <f aca="false">IF('Deploy Parameters'!J47="n/a","nsxt-logical-switch-xregion=","nsxt-logical-switch-xregion="&amp;'Deploy Parameters'!J49)</f>
        <v>nsxt-logical-switch-xregion=xreg-m01-seg01</v>
      </c>
      <c r="B243" s="292" t="s">
        <v>499</v>
      </c>
    </row>
    <row r="245" customFormat="false" ht="15" hidden="false" customHeight="false" outlineLevel="0" collapsed="false">
      <c r="A245" s="292" t="s">
        <v>500</v>
      </c>
    </row>
    <row r="246" customFormat="false" ht="15" hidden="false" customHeight="false" outlineLevel="0" collapsed="false">
      <c r="A246" s="293" t="str">
        <f aca="false">"edge-overlay-network.cidrNotation="&amp;'Hosts and Networks'!E12</f>
        <v>edge-overlay-network.cidrNotation=10.1.4.0/24</v>
      </c>
      <c r="B246" s="294" t="s">
        <v>423</v>
      </c>
    </row>
    <row r="247" customFormat="false" ht="15" hidden="false" customHeight="false" outlineLevel="0" collapsed="false">
      <c r="A247" s="293" t="str">
        <f aca="false">"edge-overlay-network.gateway="&amp;'Hosts and Networks'!F12</f>
        <v>edge-overlay-network.gateway=10.1.4.1</v>
      </c>
      <c r="B247" s="294" t="s">
        <v>424</v>
      </c>
    </row>
    <row r="248" customFormat="false" ht="15" hidden="false" customHeight="false" outlineLevel="0" collapsed="false">
      <c r="A248" s="293" t="str">
        <f aca="false">IF('Hosts and Networks'!C12="n/a","edge-overlay-network.vlanId=","edge-overlay-network.vlanId="&amp;'Hosts and Networks'!C12)</f>
        <v>edge-overlay-network.vlanId=204</v>
      </c>
      <c r="B248" s="294" t="s">
        <v>425</v>
      </c>
    </row>
    <row r="249" customFormat="false" ht="15" hidden="false" customHeight="false" outlineLevel="0" collapsed="false">
      <c r="A249" s="296" t="str">
        <f aca="false">"edge-overlay-network@mtu="&amp;'Hosts and Networks'!G12</f>
        <v>edge-overlay-network@mtu=8490</v>
      </c>
      <c r="B249" s="294" t="s">
        <v>426</v>
      </c>
    </row>
    <row r="251" customFormat="false" ht="15" hidden="false" customHeight="false" outlineLevel="0" collapsed="false">
      <c r="A251" s="292" t="s">
        <v>501</v>
      </c>
    </row>
    <row r="252" customFormat="false" ht="15" hidden="false" customHeight="false" outlineLevel="0" collapsed="false">
      <c r="A252" s="301" t="s">
        <v>502</v>
      </c>
    </row>
    <row r="253" customFormat="false" ht="15" hidden="false" customHeight="false" outlineLevel="0" collapsed="false">
      <c r="A253" s="301" t="s">
        <v>503</v>
      </c>
    </row>
    <row r="254" customFormat="false" ht="15" hidden="false" customHeight="false" outlineLevel="0" collapsed="false">
      <c r="A254" s="301" t="s">
        <v>504</v>
      </c>
    </row>
    <row r="255" customFormat="false" ht="15" hidden="false" customHeight="false" outlineLevel="0" collapsed="false">
      <c r="A255" s="301" t="s">
        <v>505</v>
      </c>
    </row>
    <row r="256" customFormat="false" ht="15" hidden="false" customHeight="false" outlineLevel="0" collapsed="false">
      <c r="A256" s="301" t="s">
        <v>506</v>
      </c>
    </row>
    <row r="257" customFormat="false" ht="15" hidden="false" customHeight="false" outlineLevel="0" collapsed="false">
      <c r="A257" s="301"/>
    </row>
    <row r="258" customFormat="false" ht="15" hidden="false" customHeight="false" outlineLevel="0" collapsed="false">
      <c r="A258" s="292" t="s">
        <v>507</v>
      </c>
    </row>
  </sheetData>
  <sheetProtection sheet="true" objects="true" scenarios="true"/>
  <conditionalFormatting sqref="A131:A134 A122:A127 A115:A120 A108:A113 A138:A141 A145:A146 A87:A104 A106 A258:A1048576 A152:A251 A1:A85">
    <cfRule type="containsText" priority="2" operator="containsText" aboveAverage="0" equalAverage="0" bottom="0" percent="0" rank="0" text="#" dxfId="186">
      <formula>NOT(ISERROR(SEARCH("#",A1)))</formula>
    </cfRule>
  </conditionalFormatting>
  <conditionalFormatting sqref="A107:A111 A135:A139 A195:A203">
    <cfRule type="beginsWith" priority="3" operator="beginsWith" aboveAverage="0" equalAverage="0" bottom="0" percent="0" rank="0" text="#" dxfId="187">
      <formula>LEFT(A107,LEN("#"))="#"</formula>
    </cfRule>
  </conditionalFormatting>
  <conditionalFormatting sqref="A114:A118">
    <cfRule type="beginsWith" priority="4" operator="beginsWith" aboveAverage="0" equalAverage="0" bottom="0" percent="0" rank="0" text="#" dxfId="188">
      <formula>LEFT(A114,LEN("#"))="#"</formula>
    </cfRule>
  </conditionalFormatting>
  <conditionalFormatting sqref="A121:A125">
    <cfRule type="beginsWith" priority="5" operator="beginsWith" aboveAverage="0" equalAverage="0" bottom="0" percent="0" rank="0" text="#" dxfId="189">
      <formula>LEFT(A121,LEN("#"))="#"</formula>
    </cfRule>
  </conditionalFormatting>
  <conditionalFormatting sqref="A128:A132">
    <cfRule type="beginsWith" priority="6" operator="beginsWith" aboveAverage="0" equalAverage="0" bottom="0" percent="0" rank="0" text="#" dxfId="190">
      <formula>LEFT(A128,LEN("#"))="#"</formula>
    </cfRule>
  </conditionalFormatting>
  <conditionalFormatting sqref="A246:A249">
    <cfRule type="beginsWith" priority="7" operator="beginsWith" aboveAverage="0" equalAverage="0" bottom="0" percent="0" rank="0" text="#" dxfId="191">
      <formula>LEFT(A246,LEN("#"))="#"</formula>
    </cfRule>
  </conditionalFormatting>
  <conditionalFormatting sqref="A142:A144">
    <cfRule type="beginsWith" priority="8" operator="beginsWith" aboveAverage="0" equalAverage="0" bottom="0" percent="0" rank="0" text="#" dxfId="192">
      <formula>LEFT(A142,LEN("#"))="#"</formula>
    </cfRule>
  </conditionalFormatting>
  <conditionalFormatting sqref="A145">
    <cfRule type="beginsWith" priority="9" operator="beginsWith" aboveAverage="0" equalAverage="0" bottom="0" percent="0" rank="0" text="#" dxfId="193">
      <formula>LEFT(A145,LEN("#"))="#"</formula>
    </cfRule>
  </conditionalFormatting>
  <conditionalFormatting sqref="A150:A151">
    <cfRule type="containsText" priority="10" operator="containsText" aboveAverage="0" equalAverage="0" bottom="0" percent="0" rank="0" text="#" dxfId="194">
      <formula>NOT(ISERROR(SEARCH("#",A150)))</formula>
    </cfRule>
  </conditionalFormatting>
  <conditionalFormatting sqref="A147:A149">
    <cfRule type="beginsWith" priority="11" operator="beginsWith" aboveAverage="0" equalAverage="0" bottom="0" percent="0" rank="0" text="#" dxfId="195">
      <formula>LEFT(A147,LEN("#"))="#"</formula>
    </cfRule>
  </conditionalFormatting>
  <conditionalFormatting sqref="A150:A151">
    <cfRule type="beginsWith" priority="12" operator="beginsWith" aboveAverage="0" equalAverage="0" bottom="0" percent="0" rank="0" text="#" dxfId="196">
      <formula>LEFT(A150,LEN("#"))="#"</formula>
    </cfRule>
  </conditionalFormatting>
  <conditionalFormatting sqref="A105">
    <cfRule type="containsText" priority="13" operator="containsText" aboveAverage="0" equalAverage="0" bottom="0" percent="0" rank="0" text="#" dxfId="197">
      <formula>NOT(ISERROR(SEARCH("#",A105)))</formula>
    </cfRule>
  </conditionalFormatting>
  <hyperlinks>
    <hyperlink ref="A101" r:id="rId1" display="mailto:physical-nic-dedicated-to-dvs@value%3Dvmnic1"/>
    <hyperlink ref="A104" r:id="rId2" display="mailto:physical-nic-dedicated-to-dvs@value%3Dvmnic1"/>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121"/>
  <sheetViews>
    <sheetView showFormulas="false" showGridLines="true" showRowColHeaders="true" showZeros="true" rightToLeft="false" tabSelected="false" showOutlineSymbols="true" defaultGridColor="true" view="normal" topLeftCell="A1" colorId="64" zoomScale="115" zoomScaleNormal="115" zoomScalePageLayoutView="100" workbookViewId="0">
      <pane xSplit="0" ySplit="1" topLeftCell="A103" activePane="bottomLeft" state="frozen"/>
      <selection pane="topLeft" activeCell="A1" activeCellId="0" sqref="A1"/>
      <selection pane="bottomLeft" activeCell="A121" activeCellId="0" sqref="A121"/>
    </sheetView>
  </sheetViews>
  <sheetFormatPr defaultColWidth="11.42578125" defaultRowHeight="15" zeroHeight="false" outlineLevelRow="0" outlineLevelCol="0"/>
  <cols>
    <col collapsed="false" customWidth="true" hidden="false" outlineLevel="0" max="1" min="1" style="302" width="11.33"/>
    <col collapsed="false" customWidth="true" hidden="false" outlineLevel="0" max="2" min="2" style="291" width="139.17"/>
    <col collapsed="false" customWidth="true" hidden="false" outlineLevel="0" max="23" min="23" style="0" width="131.17"/>
  </cols>
  <sheetData>
    <row r="1" customFormat="false" ht="16" hidden="false" customHeight="false" outlineLevel="0" collapsed="false">
      <c r="A1" s="303" t="s">
        <v>508</v>
      </c>
      <c r="B1" s="304" t="s">
        <v>81</v>
      </c>
    </row>
    <row r="2" customFormat="false" ht="335" hidden="false" customHeight="false" outlineLevel="0" collapsed="false">
      <c r="A2" s="302" t="n">
        <v>43236</v>
      </c>
      <c r="B2" s="291" t="s">
        <v>509</v>
      </c>
    </row>
    <row r="3" customFormat="false" ht="176" hidden="false" customHeight="false" outlineLevel="0" collapsed="false">
      <c r="A3" s="302" t="n">
        <v>43207</v>
      </c>
      <c r="B3" s="291" t="s">
        <v>510</v>
      </c>
    </row>
    <row r="4" customFormat="false" ht="32" hidden="false" customHeight="false" outlineLevel="0" collapsed="false">
      <c r="A4" s="302" t="n">
        <v>43252</v>
      </c>
      <c r="B4" s="291" t="s">
        <v>511</v>
      </c>
    </row>
    <row r="5" customFormat="false" ht="96" hidden="false" customHeight="false" outlineLevel="0" collapsed="false">
      <c r="A5" s="302" t="n">
        <v>43255</v>
      </c>
      <c r="B5" s="291" t="s">
        <v>512</v>
      </c>
    </row>
    <row r="6" customFormat="false" ht="32" hidden="false" customHeight="false" outlineLevel="0" collapsed="false">
      <c r="A6" s="302" t="n">
        <v>43258</v>
      </c>
      <c r="B6" s="291" t="s">
        <v>513</v>
      </c>
    </row>
    <row r="7" customFormat="false" ht="80" hidden="false" customHeight="false" outlineLevel="0" collapsed="false">
      <c r="A7" s="302" t="n">
        <v>43260</v>
      </c>
      <c r="B7" s="291" t="s">
        <v>514</v>
      </c>
    </row>
    <row r="8" customFormat="false" ht="80" hidden="false" customHeight="false" outlineLevel="0" collapsed="false">
      <c r="A8" s="302" t="n">
        <v>43271</v>
      </c>
      <c r="B8" s="291" t="s">
        <v>515</v>
      </c>
    </row>
    <row r="9" customFormat="false" ht="48" hidden="false" customHeight="false" outlineLevel="0" collapsed="false">
      <c r="A9" s="302" t="n">
        <v>43273</v>
      </c>
      <c r="B9" s="291" t="s">
        <v>516</v>
      </c>
    </row>
    <row r="10" customFormat="false" ht="16" hidden="false" customHeight="false" outlineLevel="0" collapsed="false">
      <c r="A10" s="302" t="n">
        <v>43273</v>
      </c>
      <c r="B10" s="291" t="s">
        <v>517</v>
      </c>
    </row>
    <row r="11" customFormat="false" ht="224" hidden="false" customHeight="false" outlineLevel="0" collapsed="false">
      <c r="A11" s="302" t="n">
        <v>43280</v>
      </c>
      <c r="B11" s="291" t="s">
        <v>518</v>
      </c>
    </row>
    <row r="12" customFormat="false" ht="48" hidden="false" customHeight="false" outlineLevel="0" collapsed="false">
      <c r="A12" s="302" t="n">
        <v>43284</v>
      </c>
      <c r="B12" s="291" t="s">
        <v>519</v>
      </c>
    </row>
    <row r="13" customFormat="false" ht="32" hidden="false" customHeight="false" outlineLevel="0" collapsed="false">
      <c r="A13" s="302" t="n">
        <v>43300</v>
      </c>
      <c r="B13" s="291" t="s">
        <v>520</v>
      </c>
    </row>
    <row r="14" customFormat="false" ht="16" hidden="false" customHeight="false" outlineLevel="0" collapsed="false">
      <c r="A14" s="302" t="n">
        <v>43301</v>
      </c>
      <c r="B14" s="291" t="s">
        <v>521</v>
      </c>
    </row>
    <row r="15" customFormat="false" ht="48" hidden="false" customHeight="false" outlineLevel="0" collapsed="false">
      <c r="A15" s="302" t="n">
        <v>43304</v>
      </c>
      <c r="B15" s="291" t="s">
        <v>522</v>
      </c>
    </row>
    <row r="16" customFormat="false" ht="64" hidden="false" customHeight="false" outlineLevel="0" collapsed="false">
      <c r="A16" s="302" t="n">
        <v>43305</v>
      </c>
      <c r="B16" s="291" t="s">
        <v>523</v>
      </c>
    </row>
    <row r="17" customFormat="false" ht="48" hidden="false" customHeight="false" outlineLevel="0" collapsed="false">
      <c r="A17" s="302" t="n">
        <v>43311</v>
      </c>
      <c r="B17" s="291" t="s">
        <v>524</v>
      </c>
    </row>
    <row r="18" customFormat="false" ht="48" hidden="false" customHeight="false" outlineLevel="0" collapsed="false">
      <c r="A18" s="302" t="n">
        <v>43320</v>
      </c>
      <c r="B18" s="291" t="s">
        <v>525</v>
      </c>
    </row>
    <row r="19" customFormat="false" ht="16" hidden="false" customHeight="false" outlineLevel="0" collapsed="false">
      <c r="A19" s="302" t="n">
        <v>43321</v>
      </c>
      <c r="B19" s="291" t="s">
        <v>526</v>
      </c>
    </row>
    <row r="20" customFormat="false" ht="32" hidden="false" customHeight="false" outlineLevel="0" collapsed="false">
      <c r="A20" s="302" t="n">
        <v>43322</v>
      </c>
      <c r="B20" s="291" t="s">
        <v>527</v>
      </c>
    </row>
    <row r="21" customFormat="false" ht="16" hidden="false" customHeight="false" outlineLevel="0" collapsed="false">
      <c r="A21" s="302" t="n">
        <v>43354</v>
      </c>
      <c r="B21" s="291" t="s">
        <v>528</v>
      </c>
    </row>
    <row r="22" customFormat="false" ht="32" hidden="false" customHeight="false" outlineLevel="0" collapsed="false">
      <c r="A22" s="302" t="n">
        <v>43363</v>
      </c>
      <c r="B22" s="291" t="s">
        <v>529</v>
      </c>
    </row>
    <row r="23" customFormat="false" ht="16" hidden="false" customHeight="false" outlineLevel="0" collapsed="false">
      <c r="A23" s="302" t="n">
        <v>43364</v>
      </c>
      <c r="B23" s="291" t="s">
        <v>530</v>
      </c>
    </row>
    <row r="24" customFormat="false" ht="48" hidden="false" customHeight="false" outlineLevel="0" collapsed="false">
      <c r="A24" s="302" t="n">
        <v>43370</v>
      </c>
      <c r="B24" s="291" t="s">
        <v>531</v>
      </c>
    </row>
    <row r="25" customFormat="false" ht="16" hidden="false" customHeight="false" outlineLevel="0" collapsed="false">
      <c r="A25" s="302" t="n">
        <v>43371</v>
      </c>
      <c r="B25" s="291" t="s">
        <v>532</v>
      </c>
    </row>
    <row r="26" customFormat="false" ht="48" hidden="false" customHeight="false" outlineLevel="0" collapsed="false">
      <c r="A26" s="302" t="n">
        <v>43377</v>
      </c>
      <c r="B26" s="291" t="s">
        <v>533</v>
      </c>
    </row>
    <row r="27" customFormat="false" ht="64" hidden="false" customHeight="false" outlineLevel="0" collapsed="false">
      <c r="A27" s="302" t="n">
        <v>43382</v>
      </c>
      <c r="B27" s="291" t="s">
        <v>534</v>
      </c>
    </row>
    <row r="28" customFormat="false" ht="16" hidden="false" customHeight="false" outlineLevel="0" collapsed="false">
      <c r="A28" s="302" t="n">
        <v>43383</v>
      </c>
      <c r="B28" s="291" t="s">
        <v>535</v>
      </c>
    </row>
    <row r="29" customFormat="false" ht="16" hidden="false" customHeight="false" outlineLevel="0" collapsed="false">
      <c r="A29" s="302" t="n">
        <v>43389</v>
      </c>
      <c r="B29" s="291" t="s">
        <v>536</v>
      </c>
    </row>
    <row r="30" customFormat="false" ht="16" hidden="false" customHeight="false" outlineLevel="0" collapsed="false">
      <c r="A30" s="302" t="n">
        <v>43397</v>
      </c>
      <c r="B30" s="291" t="s">
        <v>537</v>
      </c>
    </row>
    <row r="31" customFormat="false" ht="16" hidden="false" customHeight="false" outlineLevel="0" collapsed="false">
      <c r="A31" s="302" t="n">
        <v>43402</v>
      </c>
      <c r="B31" s="291" t="s">
        <v>538</v>
      </c>
    </row>
    <row r="32" customFormat="false" ht="32" hidden="false" customHeight="false" outlineLevel="0" collapsed="false">
      <c r="A32" s="302" t="n">
        <v>43404</v>
      </c>
      <c r="B32" s="291" t="s">
        <v>539</v>
      </c>
    </row>
    <row r="33" customFormat="false" ht="96" hidden="false" customHeight="false" outlineLevel="0" collapsed="false">
      <c r="A33" s="302" t="n">
        <v>43405</v>
      </c>
      <c r="B33" s="291" t="s">
        <v>540</v>
      </c>
    </row>
    <row r="34" customFormat="false" ht="16" hidden="false" customHeight="false" outlineLevel="0" collapsed="false">
      <c r="A34" s="302" t="n">
        <v>43406</v>
      </c>
      <c r="B34" s="291" t="s">
        <v>541</v>
      </c>
    </row>
    <row r="35" customFormat="false" ht="16" hidden="false" customHeight="false" outlineLevel="0" collapsed="false">
      <c r="A35" s="302" t="n">
        <v>43409</v>
      </c>
      <c r="B35" s="291" t="s">
        <v>542</v>
      </c>
    </row>
    <row r="36" customFormat="false" ht="16" hidden="false" customHeight="false" outlineLevel="0" collapsed="false">
      <c r="A36" s="302" t="n">
        <v>43413</v>
      </c>
      <c r="B36" s="291" t="s">
        <v>543</v>
      </c>
    </row>
    <row r="37" customFormat="false" ht="64" hidden="false" customHeight="false" outlineLevel="0" collapsed="false">
      <c r="A37" s="302" t="n">
        <v>43416</v>
      </c>
      <c r="B37" s="291" t="s">
        <v>544</v>
      </c>
    </row>
    <row r="38" customFormat="false" ht="16" hidden="false" customHeight="false" outlineLevel="0" collapsed="false">
      <c r="A38" s="302" t="n">
        <v>43417</v>
      </c>
      <c r="B38" s="291" t="s">
        <v>545</v>
      </c>
    </row>
    <row r="39" customFormat="false" ht="16" hidden="false" customHeight="false" outlineLevel="0" collapsed="false">
      <c r="A39" s="302" t="n">
        <v>43430</v>
      </c>
      <c r="B39" s="291" t="s">
        <v>546</v>
      </c>
    </row>
    <row r="40" customFormat="false" ht="16" hidden="false" customHeight="false" outlineLevel="0" collapsed="false">
      <c r="A40" s="302" t="n">
        <v>43385</v>
      </c>
      <c r="B40" s="291" t="s">
        <v>547</v>
      </c>
    </row>
    <row r="41" customFormat="false" ht="16" hidden="false" customHeight="false" outlineLevel="0" collapsed="false">
      <c r="A41" s="302" t="n">
        <v>43446</v>
      </c>
      <c r="B41" s="291" t="s">
        <v>548</v>
      </c>
    </row>
    <row r="42" customFormat="false" ht="16" hidden="false" customHeight="false" outlineLevel="0" collapsed="false">
      <c r="A42" s="302" t="n">
        <v>43447</v>
      </c>
      <c r="B42" s="291" t="s">
        <v>549</v>
      </c>
    </row>
    <row r="43" customFormat="false" ht="32" hidden="false" customHeight="false" outlineLevel="0" collapsed="false">
      <c r="A43" s="302" t="n">
        <v>43448</v>
      </c>
      <c r="B43" s="291" t="s">
        <v>550</v>
      </c>
    </row>
    <row r="44" customFormat="false" ht="16" hidden="false" customHeight="false" outlineLevel="0" collapsed="false">
      <c r="A44" s="302" t="n">
        <v>43467</v>
      </c>
      <c r="B44" s="291" t="s">
        <v>551</v>
      </c>
    </row>
    <row r="45" customFormat="false" ht="48" hidden="false" customHeight="false" outlineLevel="0" collapsed="false">
      <c r="A45" s="302" t="n">
        <v>43472</v>
      </c>
      <c r="B45" s="291" t="s">
        <v>552</v>
      </c>
    </row>
    <row r="46" customFormat="false" ht="16" hidden="false" customHeight="false" outlineLevel="0" collapsed="false">
      <c r="A46" s="302" t="n">
        <v>43480</v>
      </c>
      <c r="B46" s="291" t="s">
        <v>553</v>
      </c>
    </row>
    <row r="47" customFormat="false" ht="16" hidden="false" customHeight="false" outlineLevel="0" collapsed="false">
      <c r="A47" s="302" t="n">
        <v>43481</v>
      </c>
      <c r="B47" s="291" t="s">
        <v>554</v>
      </c>
    </row>
    <row r="48" customFormat="false" ht="16" hidden="false" customHeight="false" outlineLevel="0" collapsed="false">
      <c r="A48" s="302" t="n">
        <v>43483</v>
      </c>
      <c r="B48" s="291" t="s">
        <v>555</v>
      </c>
    </row>
    <row r="49" customFormat="false" ht="32" hidden="false" customHeight="false" outlineLevel="0" collapsed="false">
      <c r="A49" s="302" t="n">
        <v>43496</v>
      </c>
      <c r="B49" s="291" t="s">
        <v>556</v>
      </c>
    </row>
    <row r="50" customFormat="false" ht="16" hidden="false" customHeight="false" outlineLevel="0" collapsed="false">
      <c r="A50" s="302" t="n">
        <v>43502</v>
      </c>
      <c r="B50" s="291" t="s">
        <v>557</v>
      </c>
    </row>
    <row r="51" customFormat="false" ht="16" hidden="false" customHeight="false" outlineLevel="0" collapsed="false">
      <c r="A51" s="302" t="n">
        <v>43503</v>
      </c>
      <c r="B51" s="291" t="s">
        <v>558</v>
      </c>
    </row>
    <row r="52" customFormat="false" ht="16" hidden="false" customHeight="false" outlineLevel="0" collapsed="false">
      <c r="A52" s="302" t="n">
        <v>43517</v>
      </c>
      <c r="B52" s="291" t="s">
        <v>559</v>
      </c>
    </row>
    <row r="53" customFormat="false" ht="16" hidden="false" customHeight="false" outlineLevel="0" collapsed="false">
      <c r="A53" s="302" t="n">
        <v>43523</v>
      </c>
      <c r="B53" s="291" t="s">
        <v>560</v>
      </c>
    </row>
    <row r="54" customFormat="false" ht="16" hidden="false" customHeight="false" outlineLevel="0" collapsed="false">
      <c r="A54" s="302" t="n">
        <v>43532</v>
      </c>
      <c r="B54" s="291" t="s">
        <v>561</v>
      </c>
    </row>
    <row r="55" customFormat="false" ht="32" hidden="false" customHeight="false" outlineLevel="0" collapsed="false">
      <c r="A55" s="302" t="n">
        <v>43557</v>
      </c>
      <c r="B55" s="291" t="s">
        <v>562</v>
      </c>
    </row>
    <row r="56" customFormat="false" ht="16" hidden="false" customHeight="false" outlineLevel="0" collapsed="false">
      <c r="A56" s="302" t="n">
        <v>43564</v>
      </c>
      <c r="B56" s="291" t="s">
        <v>563</v>
      </c>
    </row>
    <row r="57" customFormat="false" ht="16" hidden="false" customHeight="false" outlineLevel="0" collapsed="false">
      <c r="A57" s="302" t="n">
        <v>43579</v>
      </c>
      <c r="B57" s="291" t="s">
        <v>548</v>
      </c>
    </row>
    <row r="58" customFormat="false" ht="16" hidden="false" customHeight="false" outlineLevel="0" collapsed="false">
      <c r="A58" s="302" t="n">
        <v>43613</v>
      </c>
      <c r="B58" s="291" t="s">
        <v>564</v>
      </c>
    </row>
    <row r="59" customFormat="false" ht="16" hidden="false" customHeight="false" outlineLevel="0" collapsed="false">
      <c r="A59" s="302" t="n">
        <v>43614</v>
      </c>
      <c r="B59" s="291" t="s">
        <v>565</v>
      </c>
    </row>
    <row r="60" customFormat="false" ht="16" hidden="false" customHeight="false" outlineLevel="0" collapsed="false">
      <c r="A60" s="302" t="n">
        <v>43621</v>
      </c>
      <c r="B60" s="291" t="s">
        <v>566</v>
      </c>
    </row>
    <row r="61" customFormat="false" ht="32" hidden="false" customHeight="false" outlineLevel="0" collapsed="false">
      <c r="A61" s="302" t="n">
        <v>43622</v>
      </c>
      <c r="B61" s="291" t="s">
        <v>567</v>
      </c>
    </row>
    <row r="62" customFormat="false" ht="16" hidden="false" customHeight="false" outlineLevel="0" collapsed="false">
      <c r="A62" s="302" t="n">
        <v>43634</v>
      </c>
      <c r="B62" s="291" t="s">
        <v>568</v>
      </c>
    </row>
    <row r="63" customFormat="false" ht="32" hidden="false" customHeight="false" outlineLevel="0" collapsed="false">
      <c r="A63" s="302" t="n">
        <v>43640</v>
      </c>
      <c r="B63" s="291" t="s">
        <v>569</v>
      </c>
    </row>
    <row r="64" customFormat="false" ht="16" hidden="false" customHeight="false" outlineLevel="0" collapsed="false">
      <c r="A64" s="302" t="n">
        <v>43664</v>
      </c>
      <c r="B64" s="291" t="s">
        <v>570</v>
      </c>
    </row>
    <row r="65" customFormat="false" ht="16" hidden="false" customHeight="false" outlineLevel="0" collapsed="false">
      <c r="A65" s="302" t="n">
        <v>43684</v>
      </c>
      <c r="B65" s="291" t="s">
        <v>571</v>
      </c>
    </row>
    <row r="66" customFormat="false" ht="16" hidden="false" customHeight="false" outlineLevel="0" collapsed="false">
      <c r="A66" s="302" t="n">
        <v>43719</v>
      </c>
      <c r="B66" s="291" t="s">
        <v>572</v>
      </c>
    </row>
    <row r="67" customFormat="false" ht="16" hidden="false" customHeight="false" outlineLevel="0" collapsed="false">
      <c r="A67" s="302" t="n">
        <v>43738</v>
      </c>
      <c r="B67" s="291" t="s">
        <v>573</v>
      </c>
    </row>
    <row r="68" customFormat="false" ht="16" hidden="false" customHeight="false" outlineLevel="0" collapsed="false">
      <c r="A68" s="302" t="n">
        <v>43747</v>
      </c>
      <c r="B68" s="291" t="s">
        <v>574</v>
      </c>
    </row>
    <row r="69" customFormat="false" ht="15" hidden="false" customHeight="true" outlineLevel="0" collapsed="false">
      <c r="A69" s="302" t="n">
        <v>43756</v>
      </c>
      <c r="B69" s="291" t="s">
        <v>575</v>
      </c>
    </row>
    <row r="70" customFormat="false" ht="15" hidden="false" customHeight="true" outlineLevel="0" collapsed="false">
      <c r="A70" s="302" t="n">
        <v>43762</v>
      </c>
      <c r="B70" s="291" t="s">
        <v>576</v>
      </c>
    </row>
    <row r="71" customFormat="false" ht="15" hidden="false" customHeight="true" outlineLevel="0" collapsed="false">
      <c r="A71" s="302" t="n">
        <v>43762</v>
      </c>
      <c r="B71" s="291" t="s">
        <v>577</v>
      </c>
    </row>
    <row r="72" customFormat="false" ht="15" hidden="false" customHeight="true" outlineLevel="0" collapsed="false">
      <c r="A72" s="302" t="n">
        <v>43777</v>
      </c>
      <c r="B72" s="291" t="s">
        <v>578</v>
      </c>
    </row>
    <row r="73" customFormat="false" ht="15" hidden="false" customHeight="true" outlineLevel="0" collapsed="false">
      <c r="A73" s="302" t="n">
        <v>43781</v>
      </c>
      <c r="B73" s="291" t="s">
        <v>579</v>
      </c>
    </row>
    <row r="74" customFormat="false" ht="15" hidden="false" customHeight="true" outlineLevel="0" collapsed="false">
      <c r="A74" s="302" t="n">
        <v>43783</v>
      </c>
      <c r="B74" s="291" t="s">
        <v>580</v>
      </c>
    </row>
    <row r="75" customFormat="false" ht="80" hidden="false" customHeight="false" outlineLevel="0" collapsed="false">
      <c r="A75" s="302" t="n">
        <v>43811</v>
      </c>
      <c r="B75" s="291" t="s">
        <v>581</v>
      </c>
    </row>
    <row r="76" customFormat="false" ht="224" hidden="false" customHeight="false" outlineLevel="0" collapsed="false">
      <c r="A76" s="302" t="n">
        <v>43832</v>
      </c>
      <c r="B76" s="291" t="s">
        <v>582</v>
      </c>
    </row>
    <row r="77" customFormat="false" ht="64" hidden="false" customHeight="false" outlineLevel="0" collapsed="false">
      <c r="A77" s="302" t="n">
        <v>43864</v>
      </c>
      <c r="B77" s="291" t="s">
        <v>583</v>
      </c>
    </row>
    <row r="78" customFormat="false" ht="32" hidden="false" customHeight="false" outlineLevel="0" collapsed="false">
      <c r="A78" s="302" t="n">
        <v>43838</v>
      </c>
      <c r="B78" s="291" t="s">
        <v>584</v>
      </c>
    </row>
    <row r="79" customFormat="false" ht="32" hidden="false" customHeight="false" outlineLevel="0" collapsed="false">
      <c r="A79" s="302" t="n">
        <v>43843</v>
      </c>
      <c r="B79" s="291" t="s">
        <v>585</v>
      </c>
    </row>
    <row r="80" customFormat="false" ht="16" hidden="false" customHeight="false" outlineLevel="0" collapsed="false">
      <c r="A80" s="302" t="n">
        <v>43845</v>
      </c>
      <c r="B80" s="291" t="s">
        <v>586</v>
      </c>
    </row>
    <row r="81" customFormat="false" ht="16" hidden="false" customHeight="false" outlineLevel="0" collapsed="false">
      <c r="A81" s="302" t="n">
        <v>43857</v>
      </c>
      <c r="B81" s="291" t="s">
        <v>587</v>
      </c>
    </row>
    <row r="82" customFormat="false" ht="16" hidden="false" customHeight="false" outlineLevel="0" collapsed="false">
      <c r="A82" s="302" t="n">
        <v>43878</v>
      </c>
      <c r="B82" s="291" t="s">
        <v>588</v>
      </c>
    </row>
    <row r="83" customFormat="false" ht="48" hidden="false" customHeight="false" outlineLevel="0" collapsed="false">
      <c r="A83" s="302" t="n">
        <v>43882</v>
      </c>
      <c r="B83" s="291" t="s">
        <v>589</v>
      </c>
    </row>
    <row r="84" customFormat="false" ht="32" hidden="false" customHeight="false" outlineLevel="0" collapsed="false">
      <c r="A84" s="302" t="n">
        <v>43887</v>
      </c>
      <c r="B84" s="291" t="s">
        <v>590</v>
      </c>
    </row>
    <row r="85" customFormat="false" ht="16" hidden="false" customHeight="false" outlineLevel="0" collapsed="false">
      <c r="A85" s="302" t="n">
        <v>43893</v>
      </c>
      <c r="B85" s="291" t="s">
        <v>591</v>
      </c>
    </row>
    <row r="86" customFormat="false" ht="16" hidden="false" customHeight="false" outlineLevel="0" collapsed="false">
      <c r="A86" s="302" t="n">
        <v>43894</v>
      </c>
      <c r="B86" s="291" t="s">
        <v>592</v>
      </c>
    </row>
    <row r="87" customFormat="false" ht="16" hidden="false" customHeight="false" outlineLevel="0" collapsed="false">
      <c r="A87" s="302" t="n">
        <v>43895</v>
      </c>
      <c r="B87" s="291" t="s">
        <v>593</v>
      </c>
    </row>
    <row r="88" customFormat="false" ht="16" hidden="false" customHeight="false" outlineLevel="0" collapsed="false">
      <c r="A88" s="302" t="n">
        <v>43896</v>
      </c>
      <c r="B88" s="291" t="s">
        <v>594</v>
      </c>
    </row>
    <row r="89" customFormat="false" ht="32" hidden="false" customHeight="false" outlineLevel="0" collapsed="false">
      <c r="A89" s="302" t="n">
        <v>43900</v>
      </c>
      <c r="B89" s="291" t="s">
        <v>595</v>
      </c>
    </row>
    <row r="90" customFormat="false" ht="16" hidden="false" customHeight="false" outlineLevel="0" collapsed="false">
      <c r="A90" s="302" t="n">
        <v>43903</v>
      </c>
      <c r="B90" s="291" t="s">
        <v>596</v>
      </c>
    </row>
    <row r="91" customFormat="false" ht="16" hidden="false" customHeight="false" outlineLevel="0" collapsed="false">
      <c r="A91" s="302" t="n">
        <v>43907</v>
      </c>
      <c r="B91" s="291" t="s">
        <v>597</v>
      </c>
    </row>
    <row r="92" customFormat="false" ht="16" hidden="false" customHeight="false" outlineLevel="0" collapsed="false">
      <c r="A92" s="302" t="n">
        <v>43915</v>
      </c>
      <c r="B92" s="291" t="s">
        <v>598</v>
      </c>
    </row>
    <row r="93" customFormat="false" ht="32" hidden="false" customHeight="false" outlineLevel="0" collapsed="false">
      <c r="A93" s="302" t="n">
        <v>43916</v>
      </c>
      <c r="B93" s="291" t="s">
        <v>599</v>
      </c>
    </row>
    <row r="94" customFormat="false" ht="48" hidden="false" customHeight="false" outlineLevel="0" collapsed="false">
      <c r="A94" s="302" t="n">
        <v>43929</v>
      </c>
      <c r="B94" s="291" t="s">
        <v>600</v>
      </c>
    </row>
    <row r="95" customFormat="false" ht="16" hidden="false" customHeight="false" outlineLevel="0" collapsed="false">
      <c r="A95" s="302" t="n">
        <v>43935</v>
      </c>
      <c r="B95" s="291" t="s">
        <v>601</v>
      </c>
    </row>
    <row r="96" customFormat="false" ht="64" hidden="false" customHeight="false" outlineLevel="0" collapsed="false">
      <c r="A96" s="302" t="n">
        <v>43942</v>
      </c>
      <c r="B96" s="291" t="s">
        <v>602</v>
      </c>
    </row>
    <row r="97" customFormat="false" ht="32" hidden="false" customHeight="false" outlineLevel="0" collapsed="false">
      <c r="A97" s="302" t="n">
        <v>43955</v>
      </c>
      <c r="B97" s="291" t="s">
        <v>603</v>
      </c>
    </row>
    <row r="98" customFormat="false" ht="16" hidden="false" customHeight="false" outlineLevel="0" collapsed="false">
      <c r="A98" s="302" t="n">
        <v>43956</v>
      </c>
      <c r="B98" s="291" t="s">
        <v>604</v>
      </c>
    </row>
    <row r="99" customFormat="false" ht="16" hidden="false" customHeight="false" outlineLevel="0" collapsed="false">
      <c r="A99" s="302" t="n">
        <v>43957</v>
      </c>
      <c r="B99" s="291" t="s">
        <v>605</v>
      </c>
    </row>
    <row r="100" customFormat="false" ht="16" hidden="false" customHeight="false" outlineLevel="0" collapsed="false">
      <c r="A100" s="302" t="n">
        <v>43958</v>
      </c>
      <c r="B100" s="291" t="s">
        <v>606</v>
      </c>
    </row>
    <row r="101" customFormat="false" ht="16" hidden="false" customHeight="false" outlineLevel="0" collapsed="false">
      <c r="A101" s="302" t="n">
        <v>43965</v>
      </c>
      <c r="B101" s="291" t="s">
        <v>607</v>
      </c>
    </row>
    <row r="102" customFormat="false" ht="16" hidden="false" customHeight="false" outlineLevel="0" collapsed="false">
      <c r="A102" s="302" t="n">
        <v>43984</v>
      </c>
      <c r="B102" s="291" t="s">
        <v>608</v>
      </c>
    </row>
    <row r="103" customFormat="false" ht="16" hidden="false" customHeight="false" outlineLevel="0" collapsed="false">
      <c r="A103" s="302" t="n">
        <v>43986</v>
      </c>
      <c r="B103" s="291" t="s">
        <v>609</v>
      </c>
    </row>
    <row r="104" customFormat="false" ht="16" hidden="false" customHeight="false" outlineLevel="0" collapsed="false">
      <c r="A104" s="302" t="n">
        <v>43987</v>
      </c>
      <c r="B104" s="291" t="s">
        <v>610</v>
      </c>
    </row>
    <row r="105" customFormat="false" ht="16" hidden="false" customHeight="false" outlineLevel="0" collapsed="false">
      <c r="A105" s="302" t="n">
        <v>44001</v>
      </c>
      <c r="B105" s="291" t="s">
        <v>611</v>
      </c>
    </row>
    <row r="106" customFormat="false" ht="32" hidden="false" customHeight="false" outlineLevel="0" collapsed="false">
      <c r="A106" s="302" t="n">
        <v>44021</v>
      </c>
      <c r="B106" s="291" t="s">
        <v>612</v>
      </c>
    </row>
    <row r="107" customFormat="false" ht="16" hidden="false" customHeight="false" outlineLevel="0" collapsed="false">
      <c r="A107" s="302" t="n">
        <v>44039</v>
      </c>
      <c r="B107" s="291" t="s">
        <v>613</v>
      </c>
    </row>
    <row r="108" customFormat="false" ht="32" hidden="false" customHeight="false" outlineLevel="0" collapsed="false">
      <c r="A108" s="302" t="n">
        <v>44054</v>
      </c>
      <c r="B108" s="291" t="s">
        <v>614</v>
      </c>
    </row>
    <row r="109" customFormat="false" ht="16" hidden="false" customHeight="false" outlineLevel="0" collapsed="false">
      <c r="A109" s="302" t="n">
        <v>44055</v>
      </c>
      <c r="B109" s="291" t="s">
        <v>615</v>
      </c>
    </row>
    <row r="110" customFormat="false" ht="16" hidden="false" customHeight="false" outlineLevel="0" collapsed="false">
      <c r="A110" s="302" t="n">
        <v>44061</v>
      </c>
      <c r="B110" s="291" t="s">
        <v>616</v>
      </c>
    </row>
    <row r="111" customFormat="false" ht="64" hidden="false" customHeight="false" outlineLevel="0" collapsed="false">
      <c r="A111" s="302" t="n">
        <v>44092</v>
      </c>
      <c r="B111" s="291" t="s">
        <v>617</v>
      </c>
    </row>
    <row r="112" customFormat="false" ht="16" hidden="false" customHeight="false" outlineLevel="0" collapsed="false">
      <c r="A112" s="302" t="n">
        <v>44096</v>
      </c>
      <c r="B112" s="291" t="s">
        <v>618</v>
      </c>
    </row>
    <row r="113" customFormat="false" ht="32" hidden="false" customHeight="false" outlineLevel="0" collapsed="false">
      <c r="A113" s="302" t="n">
        <v>44102</v>
      </c>
      <c r="B113" s="291" t="s">
        <v>619</v>
      </c>
    </row>
    <row r="114" customFormat="false" ht="16" hidden="false" customHeight="false" outlineLevel="0" collapsed="false">
      <c r="A114" s="302" t="n">
        <v>44104</v>
      </c>
      <c r="B114" s="291" t="s">
        <v>620</v>
      </c>
    </row>
    <row r="115" customFormat="false" ht="16" hidden="false" customHeight="false" outlineLevel="0" collapsed="false">
      <c r="A115" s="302" t="n">
        <v>44105</v>
      </c>
      <c r="B115" s="291" t="s">
        <v>621</v>
      </c>
    </row>
    <row r="116" customFormat="false" ht="32" hidden="false" customHeight="false" outlineLevel="0" collapsed="false">
      <c r="A116" s="302" t="n">
        <v>44116</v>
      </c>
      <c r="B116" s="291" t="s">
        <v>622</v>
      </c>
    </row>
    <row r="117" customFormat="false" ht="112" hidden="false" customHeight="false" outlineLevel="0" collapsed="false">
      <c r="A117" s="302" t="n">
        <v>44130</v>
      </c>
      <c r="B117" s="291" t="s">
        <v>623</v>
      </c>
    </row>
    <row r="118" customFormat="false" ht="16" hidden="false" customHeight="false" outlineLevel="0" collapsed="false">
      <c r="A118" s="302" t="n">
        <v>44140</v>
      </c>
      <c r="B118" s="291" t="s">
        <v>624</v>
      </c>
    </row>
    <row r="119" customFormat="false" ht="32" hidden="false" customHeight="false" outlineLevel="0" collapsed="false">
      <c r="A119" s="302" t="n">
        <v>44147</v>
      </c>
      <c r="B119" s="291" t="s">
        <v>625</v>
      </c>
    </row>
    <row r="120" customFormat="false" ht="16" hidden="false" customHeight="false" outlineLevel="0" collapsed="false">
      <c r="A120" s="302" t="n">
        <v>44155</v>
      </c>
      <c r="B120" s="291" t="s">
        <v>626</v>
      </c>
    </row>
    <row r="121" customFormat="false" ht="8.25" hidden="false" customHeight="true" outlineLevel="0" collapsed="false">
      <c r="A121" s="305"/>
      <c r="B121" s="306"/>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tableParts>
    <tablePart r:id="rId1"/>
  </tableParts>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5A577933F924685E4DAD91140489E" ma:contentTypeVersion="4" ma:contentTypeDescription="Create a new document." ma:contentTypeScope="" ma:versionID="3703d19fa21c31057512a85f9ad51027">
  <xsd:schema xmlns:xsd="http://www.w3.org/2001/XMLSchema" xmlns:xs="http://www.w3.org/2001/XMLSchema" xmlns:p="http://schemas.microsoft.com/office/2006/metadata/properties" xmlns:ns2="42f332f2-14e4-43ff-80e4-f13db3e1f79e" xmlns:ns3="b23cd13a-97d6-4d08-9f46-6800ee6bb4bb" targetNamespace="http://schemas.microsoft.com/office/2006/metadata/properties" ma:root="true" ma:fieldsID="a938341cf742ddf41df261b8578605b1" ns2:_="" ns3:_="">
    <xsd:import namespace="42f332f2-14e4-43ff-80e4-f13db3e1f79e"/>
    <xsd:import namespace="b23cd13a-97d6-4d08-9f46-6800ee6bb4b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f332f2-14e4-43ff-80e4-f13db3e1f7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3cd13a-97d6-4d08-9f46-6800ee6bb4b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563219-7029-4375-914D-E481CBB8E5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f332f2-14e4-43ff-80e4-f13db3e1f79e"/>
    <ds:schemaRef ds:uri="b23cd13a-97d6-4d08-9f46-6800ee6bb4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764FA8-E187-4ABA-86B6-51F1D87DE4F4}">
  <ds:schemaRefs>
    <ds:schemaRef ds:uri="http://schemas.microsoft.com/office/2006/documentManagement/types"/>
    <ds:schemaRef ds:uri="b23cd13a-97d6-4d08-9f46-6800ee6bb4bb"/>
    <ds:schemaRef ds:uri="http://www.w3.org/XML/1998/namespace"/>
    <ds:schemaRef ds:uri="http://purl.org/dc/elements/1.1/"/>
    <ds:schemaRef ds:uri="http://schemas.microsoft.com/office/infopath/2007/PartnerControls"/>
    <ds:schemaRef ds:uri="http://purl.org/dc/dcmitype/"/>
    <ds:schemaRef ds:uri="http://purl.org/dc/terms/"/>
    <ds:schemaRef ds:uri="http://schemas.openxmlformats.org/package/2006/metadata/core-properties"/>
    <ds:schemaRef ds:uri="42f332f2-14e4-43ff-80e4-f13db3e1f79e"/>
    <ds:schemaRef ds:uri="http://schemas.microsoft.com/office/2006/metadata/properties"/>
  </ds:schemaRefs>
</ds:datastoreItem>
</file>

<file path=customXml/itemProps3.xml><?xml version="1.0" encoding="utf-8"?>
<ds:datastoreItem xmlns:ds="http://schemas.openxmlformats.org/officeDocument/2006/customXml" ds:itemID="{7DD9441E-4163-4C29-A591-891C920432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38</TotalTime>
  <Application>LibreOffice/6.4.7.2$Linux_X86_64 LibreOffice_project/40$Build-2</Application>
  <Company>VMware, Inc.</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2015-04-26T05:38:09Z</dcterms:created>
  <dc:creator>Hyper-Converged Infrastructure Business Unit</dc:creator>
  <dc:description/>
  <cp:keywords>v4.2.0</cp:keywords>
  <dc:language>en-US</dc:language>
  <cp:lastModifiedBy/>
  <dcterms:modified xsi:type="dcterms:W3CDTF">2021-04-28T23:33:24Z</dcterms:modified>
  <cp:revision>10</cp:revision>
  <dc:subject>Deployment Parameters</dc:subject>
  <dc:title>VMware Cloud Foundation</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AuthorIds_UIVersion_14848">
    <vt:lpwstr>11,26</vt:lpwstr>
  </property>
  <property fmtid="{D5CDD505-2E9C-101B-9397-08002B2CF9AE}" pid="4" name="Company">
    <vt:lpwstr>VMware, Inc.</vt:lpwstr>
  </property>
  <property fmtid="{D5CDD505-2E9C-101B-9397-08002B2CF9AE}" pid="5" name="ContentTypeId">
    <vt:lpwstr>0x0101004385A577933F924685E4DAD91140489E</vt:lpwstr>
  </property>
  <property fmtid="{D5CDD505-2E9C-101B-9397-08002B2CF9AE}" pid="6" name="DocSecurity">
    <vt:i4>0</vt:i4>
  </property>
  <property fmtid="{D5CDD505-2E9C-101B-9397-08002B2CF9AE}" pid="7" name="HyperlinksChanged">
    <vt:bool>0</vt:bool>
  </property>
  <property fmtid="{D5CDD505-2E9C-101B-9397-08002B2CF9AE}" pid="8" name="LinksUpToDate">
    <vt:bool>0</vt:bool>
  </property>
  <property fmtid="{D5CDD505-2E9C-101B-9397-08002B2CF9AE}" pid="9" name="ScaleCrop">
    <vt:bool>0</vt:bool>
  </property>
  <property fmtid="{D5CDD505-2E9C-101B-9397-08002B2CF9AE}" pid="10" name="ShareDoc">
    <vt:bool>0</vt:bool>
  </property>
</Properties>
</file>